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ie\Desktop\"/>
    </mc:Choice>
  </mc:AlternateContent>
  <bookViews>
    <workbookView xWindow="0" yWindow="0" windowWidth="28800" windowHeight="12435" tabRatio="745"/>
  </bookViews>
  <sheets>
    <sheet name="2021 HOA General" sheetId="1" r:id="rId1"/>
    <sheet name="Cash" sheetId="14" r:id="rId2"/>
    <sheet name="Dues" sheetId="15" r:id="rId3"/>
    <sheet name="Common Area Exp" sheetId="3" r:id="rId4"/>
    <sheet name="Irrigation" sheetId="5" r:id="rId5"/>
    <sheet name="Pool, Prof, HOA, Lights" sheetId="7" r:id="rId6"/>
    <sheet name="Townhome Budget" sheetId="19" r:id="rId7"/>
    <sheet name=" MS #2 Budget" sheetId="20" r:id="rId8"/>
    <sheet name="Lake Budget" sheetId="21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7" l="1"/>
  <c r="C22" i="7"/>
  <c r="C21" i="7"/>
  <c r="C7" i="7"/>
  <c r="C5" i="7"/>
  <c r="C4" i="7"/>
  <c r="C3" i="7"/>
  <c r="C28" i="3" l="1"/>
  <c r="P31" i="3"/>
  <c r="O31" i="3"/>
  <c r="N31" i="3"/>
  <c r="M31" i="3"/>
  <c r="L31" i="3"/>
  <c r="K31" i="3"/>
  <c r="J31" i="3"/>
  <c r="I31" i="3"/>
  <c r="H31" i="3"/>
  <c r="G31" i="3"/>
  <c r="F31" i="3"/>
  <c r="E31" i="3"/>
  <c r="E24" i="3"/>
  <c r="G24" i="3"/>
  <c r="F24" i="3"/>
  <c r="C20" i="3"/>
  <c r="O20" i="3"/>
  <c r="N20" i="3"/>
  <c r="M20" i="3"/>
  <c r="L20" i="3"/>
  <c r="K20" i="3"/>
  <c r="J20" i="3"/>
  <c r="I20" i="3"/>
  <c r="Q20" i="3" s="1"/>
  <c r="H20" i="3"/>
  <c r="G20" i="3"/>
  <c r="F20" i="3"/>
  <c r="E20" i="3"/>
  <c r="P20" i="3"/>
  <c r="B17" i="3"/>
  <c r="C4" i="5"/>
  <c r="B5" i="5"/>
  <c r="C29" i="1"/>
  <c r="B18" i="14"/>
  <c r="D23" i="7" l="1"/>
  <c r="C6" i="7"/>
  <c r="Q26" i="3"/>
  <c r="N7" i="3"/>
  <c r="M7" i="3"/>
  <c r="L7" i="3"/>
  <c r="K7" i="3"/>
  <c r="J7" i="3"/>
  <c r="I7" i="3"/>
  <c r="H7" i="3"/>
  <c r="G7" i="3"/>
  <c r="N6" i="3"/>
  <c r="M6" i="3"/>
  <c r="L6" i="3"/>
  <c r="K6" i="3"/>
  <c r="J6" i="3"/>
  <c r="I6" i="3"/>
  <c r="H6" i="3"/>
  <c r="G6" i="3"/>
  <c r="N5" i="3"/>
  <c r="M5" i="3"/>
  <c r="L5" i="3"/>
  <c r="K5" i="3"/>
  <c r="J5" i="3"/>
  <c r="I5" i="3"/>
  <c r="H5" i="3"/>
  <c r="G5" i="3"/>
  <c r="Q12" i="3"/>
  <c r="B12" i="3" s="1"/>
  <c r="Q14" i="3"/>
  <c r="B14" i="3" s="1"/>
  <c r="Q16" i="3"/>
  <c r="Q17" i="3"/>
  <c r="Q18" i="3"/>
  <c r="Q10" i="3"/>
  <c r="G11" i="3"/>
  <c r="B6" i="3"/>
  <c r="C4" i="3"/>
  <c r="Q5" i="3" l="1"/>
  <c r="Q6" i="3"/>
  <c r="Q7" i="3"/>
  <c r="E30" i="3"/>
  <c r="E7" i="20" l="1"/>
  <c r="C9" i="7"/>
  <c r="B8" i="5"/>
  <c r="O15" i="3"/>
  <c r="N15" i="3"/>
  <c r="M15" i="3"/>
  <c r="L15" i="3"/>
  <c r="K15" i="3"/>
  <c r="J15" i="3"/>
  <c r="I15" i="3"/>
  <c r="H15" i="3"/>
  <c r="G15" i="3"/>
  <c r="P11" i="3"/>
  <c r="O11" i="3"/>
  <c r="N11" i="3"/>
  <c r="M11" i="3"/>
  <c r="L11" i="3"/>
  <c r="K11" i="3"/>
  <c r="J11" i="3"/>
  <c r="I11" i="3"/>
  <c r="H11" i="3"/>
  <c r="E9" i="3"/>
  <c r="B11" i="14"/>
  <c r="C8" i="1"/>
  <c r="Q15" i="3" l="1"/>
  <c r="Q11" i="3"/>
  <c r="C33" i="7" l="1"/>
  <c r="D32" i="7"/>
  <c r="D31" i="7"/>
  <c r="D24" i="7"/>
  <c r="D22" i="7"/>
  <c r="D21" i="7"/>
  <c r="D15" i="7"/>
  <c r="D14" i="7"/>
  <c r="D13" i="7"/>
  <c r="D7" i="7"/>
  <c r="D6" i="7"/>
  <c r="D5" i="7"/>
  <c r="D4" i="7"/>
  <c r="B10" i="5"/>
  <c r="B9" i="5"/>
  <c r="D33" i="7" l="1"/>
  <c r="C22" i="1"/>
  <c r="D9" i="7"/>
  <c r="B32" i="3"/>
  <c r="C30" i="3" s="1"/>
  <c r="N30" i="3"/>
  <c r="M30" i="3"/>
  <c r="L30" i="3"/>
  <c r="K30" i="3"/>
  <c r="J30" i="3"/>
  <c r="I30" i="3"/>
  <c r="H30" i="3"/>
  <c r="G30" i="3"/>
  <c r="F30" i="3"/>
  <c r="O30" i="3"/>
  <c r="P30" i="3"/>
  <c r="Q32" i="3"/>
  <c r="Q30" i="3" l="1"/>
  <c r="E6" i="20"/>
  <c r="E5" i="20"/>
  <c r="J24" i="3"/>
  <c r="H24" i="3"/>
  <c r="P9" i="3"/>
  <c r="O9" i="3"/>
  <c r="N9" i="3"/>
  <c r="M9" i="3"/>
  <c r="L9" i="3"/>
  <c r="K9" i="3"/>
  <c r="J9" i="3"/>
  <c r="I9" i="3"/>
  <c r="H9" i="3"/>
  <c r="G9" i="3"/>
  <c r="F9" i="3"/>
  <c r="E8" i="20" l="1"/>
  <c r="E11" i="20" s="1"/>
  <c r="I24" i="3"/>
  <c r="K24" i="3"/>
  <c r="L24" i="3"/>
  <c r="M24" i="3"/>
  <c r="N24" i="3"/>
  <c r="C4" i="15" l="1"/>
  <c r="D3" i="7"/>
  <c r="C26" i="7" l="1"/>
  <c r="C17" i="7"/>
  <c r="D26" i="7" l="1"/>
  <c r="D17" i="7"/>
  <c r="E30" i="19" l="1"/>
  <c r="C40" i="19" s="1"/>
  <c r="E33" i="19" l="1"/>
  <c r="G13" i="15"/>
  <c r="G14" i="15"/>
  <c r="G12" i="15"/>
  <c r="I7" i="5" l="1"/>
  <c r="J7" i="5"/>
  <c r="K7" i="5"/>
  <c r="L7" i="5"/>
  <c r="M7" i="5"/>
  <c r="N7" i="5"/>
  <c r="H7" i="5"/>
  <c r="C7" i="5"/>
  <c r="B14" i="5" s="1"/>
  <c r="Q28" i="3"/>
  <c r="Q21" i="3"/>
  <c r="Q22" i="3"/>
  <c r="Q24" i="3"/>
  <c r="B18" i="3"/>
  <c r="Q9" i="3"/>
  <c r="C9" i="3" l="1"/>
  <c r="G4" i="3"/>
  <c r="I4" i="3"/>
  <c r="K4" i="3"/>
  <c r="L4" i="3"/>
  <c r="N4" i="3"/>
  <c r="H4" i="3"/>
  <c r="J4" i="3"/>
  <c r="M4" i="3"/>
  <c r="C14" i="1"/>
  <c r="Q25" i="3"/>
  <c r="B25" i="3" s="1"/>
  <c r="C24" i="3" s="1"/>
  <c r="B34" i="3" s="1"/>
  <c r="Q4" i="3" l="1"/>
  <c r="Q34" i="3" s="1"/>
  <c r="C26" i="1" l="1"/>
  <c r="C3" i="15" s="1"/>
  <c r="C7" i="15" s="1"/>
  <c r="C30" i="1"/>
  <c r="C31" i="1" s="1"/>
  <c r="I14" i="15" l="1"/>
  <c r="K14" i="15" s="1"/>
  <c r="I12" i="15"/>
  <c r="K12" i="15" s="1"/>
  <c r="I13" i="15"/>
  <c r="K13" i="15" s="1"/>
  <c r="C32" i="1"/>
  <c r="C33" i="1"/>
</calcChain>
</file>

<file path=xl/sharedStrings.xml><?xml version="1.0" encoding="utf-8"?>
<sst xmlns="http://schemas.openxmlformats.org/spreadsheetml/2006/main" count="229" uniqueCount="190">
  <si>
    <t>Legacy Homeowner Dues</t>
  </si>
  <si>
    <t>Initial Set Up Fees</t>
  </si>
  <si>
    <t>Total Income</t>
  </si>
  <si>
    <t>INCOME</t>
  </si>
  <si>
    <t>EXPENSES</t>
  </si>
  <si>
    <t>Common Area Expenses</t>
  </si>
  <si>
    <t>Insurance</t>
  </si>
  <si>
    <t>Irrigation</t>
  </si>
  <si>
    <t>Supplies</t>
  </si>
  <si>
    <t xml:space="preserve">Phone </t>
  </si>
  <si>
    <t>Professional Fees</t>
  </si>
  <si>
    <t>Property Management Fees</t>
  </si>
  <si>
    <t>Signs</t>
  </si>
  <si>
    <t>Street Lights</t>
  </si>
  <si>
    <t>Reserve Funds</t>
  </si>
  <si>
    <t>Total Expenses</t>
  </si>
  <si>
    <t>Contracted Mowing &amp; Maintenance</t>
  </si>
  <si>
    <t>Pest Control</t>
  </si>
  <si>
    <t>Pond Maintenance</t>
  </si>
  <si>
    <t>Water Feature Power</t>
  </si>
  <si>
    <t>Water Feature Maintenance &amp; Water Cost</t>
  </si>
  <si>
    <t>Extra weed or insect control as needed</t>
  </si>
  <si>
    <t>Plant Replacements (parkways, common area, shrubs)</t>
  </si>
  <si>
    <t>Non-Contracted Maintenance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</si>
  <si>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</si>
  <si>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</si>
  <si>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</si>
  <si>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</si>
  <si>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</si>
  <si>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</si>
  <si>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</si>
  <si>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</si>
  <si>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</si>
  <si>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</si>
  <si>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</si>
  <si>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</si>
  <si>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Golf</t>
  </si>
  <si>
    <t>Flowers</t>
  </si>
  <si>
    <t>Rock Refresh</t>
  </si>
  <si>
    <t xml:space="preserve"> </t>
  </si>
  <si>
    <t>Year End</t>
  </si>
  <si>
    <t>Goose Control</t>
  </si>
  <si>
    <t>Pond 7</t>
  </si>
  <si>
    <t>Total Yearly HOA Cost</t>
  </si>
  <si>
    <t>Monthly Cost Breakdown</t>
  </si>
  <si>
    <t>Total Common Area Expenses</t>
  </si>
  <si>
    <t>Legacy HOA Common Area Expenses</t>
  </si>
  <si>
    <t>Yearly Cost</t>
  </si>
  <si>
    <t>Total</t>
  </si>
  <si>
    <t>Irrigation Pumps &amp; Building</t>
  </si>
  <si>
    <t>Monthly Avg</t>
  </si>
  <si>
    <t>Irrigation Power</t>
  </si>
  <si>
    <t>Irrigation System Maintenance</t>
  </si>
  <si>
    <t>Pond Treatments/Portion to Irrigation</t>
  </si>
  <si>
    <t>Aerator Rebuilds (Lake 7 Only)</t>
  </si>
  <si>
    <t>Irrigation Water</t>
  </si>
  <si>
    <t>Total Irrigation Expenses</t>
  </si>
  <si>
    <t>Legacy HOA Irrigation Expenses</t>
  </si>
  <si>
    <t>Gas Charges</t>
  </si>
  <si>
    <t>Pool House Power</t>
  </si>
  <si>
    <t>Sewer Billing</t>
  </si>
  <si>
    <t>Water Billing</t>
  </si>
  <si>
    <t>Total Pool Expenses</t>
  </si>
  <si>
    <t>Street Light Maintenance</t>
  </si>
  <si>
    <t>Street Light Power</t>
  </si>
  <si>
    <t>Legacy Street Lights</t>
  </si>
  <si>
    <t>Yearly</t>
  </si>
  <si>
    <t>Legacy HOA Professional Fees</t>
  </si>
  <si>
    <t>Attorney</t>
  </si>
  <si>
    <t>Accounting</t>
  </si>
  <si>
    <t>Legacy HOA Management</t>
  </si>
  <si>
    <t>Taxes (8%)</t>
  </si>
  <si>
    <t>Wages</t>
  </si>
  <si>
    <t>x</t>
  </si>
  <si>
    <t>Total Equivalent Units as defined by Commununity Charter</t>
  </si>
  <si>
    <t>Base Annual Assessment</t>
  </si>
  <si>
    <t>Up to 5,000 square feet of land Annual Rate        .91</t>
  </si>
  <si>
    <t>5,000 to 12,000 square feet of land Rate     1.00</t>
  </si>
  <si>
    <t>Over 12,000 square feet of land Rate       1.08</t>
  </si>
  <si>
    <t>Legacy HOA Cash</t>
  </si>
  <si>
    <t>Less any reserves not deposited for the year</t>
  </si>
  <si>
    <t>Less estimated bad debt from A/R</t>
  </si>
  <si>
    <t>Less estimated bills for the rest of the year</t>
  </si>
  <si>
    <t>Cash from last year</t>
  </si>
  <si>
    <t>Funds Needed</t>
  </si>
  <si>
    <t>5,000&gt;12,000 SF</t>
  </si>
  <si>
    <t>&lt;5,000 SF</t>
  </si>
  <si>
    <t>&gt;12,000 SF</t>
  </si>
  <si>
    <t>Assigned Units</t>
  </si>
  <si>
    <t>/</t>
  </si>
  <si>
    <t>Total Units</t>
  </si>
  <si>
    <t>Divided by</t>
  </si>
  <si>
    <t>Times</t>
  </si>
  <si>
    <t xml:space="preserve">Budget </t>
  </si>
  <si>
    <t>Equals</t>
  </si>
  <si>
    <t>=</t>
  </si>
  <si>
    <t>Yearly Unit Assessment Rate</t>
  </si>
  <si>
    <t>Unit Size</t>
  </si>
  <si>
    <t>Budget responsibility</t>
  </si>
  <si>
    <t>Budget Expense Funds Needed</t>
  </si>
  <si>
    <t>Assessments:</t>
  </si>
  <si>
    <t>*</t>
  </si>
  <si>
    <t>General</t>
  </si>
  <si>
    <t>Description</t>
  </si>
  <si>
    <t>Quantity</t>
  </si>
  <si>
    <t xml:space="preserve"> Price </t>
  </si>
  <si>
    <t>Sub Total</t>
  </si>
  <si>
    <t>Trees &amp; Shrubs</t>
  </si>
  <si>
    <t>Turf</t>
  </si>
  <si>
    <t>Mowing and Edging  - blow off sidewalks</t>
  </si>
  <si>
    <t xml:space="preserve">Fertilization </t>
  </si>
  <si>
    <t>Weed Control-1 complete, 2 follow-up</t>
  </si>
  <si>
    <t>Planter Beds</t>
  </si>
  <si>
    <t>Pre-emergent</t>
  </si>
  <si>
    <t>Weeding as needed to keep weed free beds</t>
  </si>
  <si>
    <t>Spring cleanup</t>
  </si>
  <si>
    <t>Fall Cleanup</t>
  </si>
  <si>
    <t>Sprinkler Systems</t>
  </si>
  <si>
    <t>Parts cost plus ____%</t>
  </si>
  <si>
    <t>Startup-Spring</t>
  </si>
  <si>
    <t>Winterization - Blow out system</t>
  </si>
  <si>
    <t xml:space="preserve"> Total per year</t>
  </si>
  <si>
    <t>Total Lots</t>
  </si>
  <si>
    <t>Price per lot</t>
  </si>
  <si>
    <t>Not included:</t>
  </si>
  <si>
    <t xml:space="preserve">Tree, and shrub fertilzation </t>
  </si>
  <si>
    <t>Insect control</t>
  </si>
  <si>
    <t>Snow Removal</t>
  </si>
  <si>
    <t>R &amp; R dead plant material</t>
  </si>
  <si>
    <t>Misc</t>
  </si>
  <si>
    <t>Yearly Price per lot for Lake Front Lots</t>
  </si>
  <si>
    <t>Lake Front Lots</t>
  </si>
  <si>
    <t>14 SF #2  (lots 2-15 Block 3)</t>
  </si>
  <si>
    <t xml:space="preserve">15 SF #4 lots    ( lots 18,19,20,21,22,23, 26, 33, 35,37, 38, 39, 40, 41, 44  Block 3) </t>
  </si>
  <si>
    <r>
      <rPr>
        <b/>
        <sz val="12"/>
        <color theme="1"/>
        <rFont val="Times New Roman"/>
        <family val="1"/>
      </rPr>
      <t>Portion</t>
    </r>
    <r>
      <rPr>
        <sz val="12"/>
        <color theme="1"/>
        <rFont val="Times New Roman"/>
        <family val="1"/>
      </rPr>
      <t xml:space="preserve"> of algae &amp; aquatic weed control (twice monthly, April -October)</t>
    </r>
  </si>
  <si>
    <t xml:space="preserve">Street sweeping </t>
  </si>
  <si>
    <t>Operations Oversite</t>
  </si>
  <si>
    <t>City Water Cost</t>
  </si>
  <si>
    <t>Clear water bearings, Screens, maintenance Misc.</t>
  </si>
  <si>
    <t>Community Building</t>
  </si>
  <si>
    <t>Misc Maintenance: Oil, Service, Low water calls to pump co. &amp; station winterization</t>
  </si>
  <si>
    <t>Equals surplus or deficit estimated</t>
  </si>
  <si>
    <t>Prune all trees and grasses once per season</t>
  </si>
  <si>
    <t>Prune all shrubs 2 times per year</t>
  </si>
  <si>
    <t>included</t>
  </si>
  <si>
    <t>Included</t>
  </si>
  <si>
    <t xml:space="preserve">Included </t>
  </si>
  <si>
    <t>Sprinkler monitor</t>
  </si>
  <si>
    <t>Landscaping only cost</t>
  </si>
  <si>
    <t xml:space="preserve">Cash to operating reserve contingency </t>
  </si>
  <si>
    <t>Cash in General Bank Account</t>
  </si>
  <si>
    <t>Insurance to receive before year end</t>
  </si>
  <si>
    <t>Less Payroll tax liability</t>
  </si>
  <si>
    <t xml:space="preserve"> Miscellaneous: valve, sprinklers, two wire, tree staking, computer repairs, common area drains</t>
  </si>
  <si>
    <t>Pest Service</t>
  </si>
  <si>
    <t>Maintenance, supplies, misc</t>
  </si>
  <si>
    <t>Office Rent, Mileage &amp; Insurance</t>
  </si>
  <si>
    <t>Reserve amount per study</t>
  </si>
  <si>
    <t>Reserve Amount - Streets, walks, inlets, storm drain</t>
  </si>
  <si>
    <t>Title Transfer Fees; Interest Reserves; Service Charges</t>
  </si>
  <si>
    <t>MS #2 6% General Fund</t>
  </si>
  <si>
    <t>Legacy HOA MS#1 &amp; SF#4 Pool Expenses</t>
  </si>
  <si>
    <t>MS #1 &amp; SF# 4 Pool Expenses</t>
  </si>
  <si>
    <t>Balance forward from previous year</t>
  </si>
  <si>
    <t>Less plant replacements not yet completed &amp; Bulb Planting</t>
  </si>
  <si>
    <t>6% of MS#2 standard reserves from General Budget</t>
  </si>
  <si>
    <t>Est. Set up</t>
  </si>
  <si>
    <t>Est. Transfer Fees &amp; Interest/Services Charges</t>
  </si>
  <si>
    <t>Extra Helper</t>
  </si>
  <si>
    <t>extras</t>
  </si>
  <si>
    <t>Plus all A/R for 2020 dues after removing payments for 2021</t>
  </si>
  <si>
    <t>Less any over payments that will be applied to 2021 dues</t>
  </si>
  <si>
    <t>Estimated Cash towards 2021 budget</t>
  </si>
  <si>
    <t>2021 Legacy HOA Dues</t>
  </si>
  <si>
    <t xml:space="preserve"> Budget</t>
  </si>
  <si>
    <t>2021 LEGACY HOA BUDGET OVERVIEW</t>
  </si>
  <si>
    <t>Operating Reserve Funding</t>
  </si>
  <si>
    <t>Property Taxes</t>
  </si>
  <si>
    <t>HOA General SF1-SF12 &amp; SR2</t>
  </si>
  <si>
    <t>Parkways added through 2021</t>
  </si>
  <si>
    <t>SR #4 - Billed per service when built</t>
  </si>
  <si>
    <t>SR #3 - Billed per service when built</t>
  </si>
  <si>
    <t>SF #13 - Billed per service when built</t>
  </si>
  <si>
    <t>Tree Pruning</t>
  </si>
  <si>
    <t>will be covered by new income</t>
  </si>
  <si>
    <t>Ponds excluding pond #7</t>
  </si>
  <si>
    <t>*Legacy Lake Owners portion: $11,022; Irrigation System Maint. Portion: $8,769.38</t>
  </si>
  <si>
    <t>9 Existing Townhome Additional Fee in 2021</t>
  </si>
  <si>
    <t>150 Lots Mosca Seca No. 2 - 2021</t>
  </si>
  <si>
    <t>Legacy Lake Assessment Area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</si>
</sst>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u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4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u/>
      <sz val="10"/>
      <color theme="1"/>
      <name val="Times New Roman"/>
      <family val="1"/>
    </font>
    <font>
      <b/>
      <u/>
      <sz val="18"/>
      <color theme="1"/>
      <name val="Times New Roman"/>
      <family val="1"/>
    </font>
    <font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46">
    <xf numFmtId="0" fontId="0" fillId="0" borderId="0" xfId="0"/>
    <xf numFmtId="0" fontId="3" fillId="0" borderId="0" xfId="0" applyFont="1" applyBorder="1"/>
    <xf numFmtId="44" fontId="3" fillId="0" borderId="0" xfId="2" applyFont="1" applyFill="1" applyBorder="1"/>
    <xf numFmtId="44" fontId="4" fillId="0" borderId="40" xfId="2" applyFont="1" applyBorder="1" applyAlignment="1"/>
    <xf numFmtId="44" fontId="5" fillId="0" borderId="0" xfId="2" applyFont="1" applyBorder="1" applyAlignment="1">
      <alignment horizontal="right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/>
    <xf numFmtId="0" fontId="6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/>
    <xf numFmtId="0" fontId="3" fillId="0" borderId="0" xfId="0" applyFont="1" applyBorder="1" applyAlignment="1"/>
    <xf numFmtId="0" fontId="7" fillId="0" borderId="0" xfId="0" applyFont="1" applyBorder="1"/>
    <xf numFmtId="44" fontId="3" fillId="0" borderId="0" xfId="2" applyFont="1" applyBorder="1"/>
    <xf numFmtId="44" fontId="3" fillId="0" borderId="0" xfId="2" applyFont="1"/>
    <xf numFmtId="49" fontId="11" fillId="0" borderId="0" xfId="0" applyNumberFormat="1" applyFont="1"/>
    <xf numFmtId="0" fontId="10" fillId="0" borderId="0" xfId="0" applyFont="1" applyFill="1" applyBorder="1"/>
    <xf numFmtId="44" fontId="9" fillId="0" borderId="0" xfId="0" applyNumberFormat="1" applyFont="1" applyFill="1" applyBorder="1"/>
    <xf numFmtId="0" fontId="3" fillId="0" borderId="0" xfId="0" applyNumberFormat="1" applyFont="1"/>
    <xf numFmtId="0" fontId="7" fillId="0" borderId="10" xfId="0" applyFont="1" applyBorder="1"/>
    <xf numFmtId="44" fontId="3" fillId="0" borderId="0" xfId="2" applyFont="1" applyFill="1" applyBorder="1" applyAlignment="1"/>
    <xf numFmtId="44" fontId="7" fillId="0" borderId="0" xfId="2" applyFont="1" applyFill="1" applyBorder="1" applyAlignment="1"/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7" fillId="0" borderId="0" xfId="0" applyFont="1" applyBorder="1"/>
    <xf numFmtId="0" fontId="1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4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7" fillId="0" borderId="6" xfId="0" applyFont="1" applyFill="1" applyBorder="1"/>
    <xf numFmtId="0" fontId="7" fillId="0" borderId="6" xfId="0" applyFont="1" applyFill="1" applyBorder="1" applyAlignment="1">
      <alignment horizontal="center"/>
    </xf>
    <xf numFmtId="44" fontId="7" fillId="0" borderId="6" xfId="2" applyFont="1" applyFill="1" applyBorder="1"/>
    <xf numFmtId="44" fontId="7" fillId="0" borderId="7" xfId="2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44" fontId="7" fillId="0" borderId="0" xfId="2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44" fontId="7" fillId="0" borderId="3" xfId="2" applyFont="1" applyFill="1" applyBorder="1"/>
    <xf numFmtId="44" fontId="7" fillId="0" borderId="4" xfId="2" applyFont="1" applyFill="1" applyBorder="1"/>
    <xf numFmtId="44" fontId="7" fillId="0" borderId="11" xfId="2" applyFont="1" applyFill="1" applyBorder="1"/>
    <xf numFmtId="1" fontId="7" fillId="0" borderId="0" xfId="0" applyNumberFormat="1" applyFont="1" applyFill="1" applyBorder="1" applyAlignment="1">
      <alignment horizontal="center"/>
    </xf>
    <xf numFmtId="0" fontId="7" fillId="0" borderId="4" xfId="0" applyFont="1" applyFill="1" applyBorder="1"/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8" fontId="3" fillId="0" borderId="0" xfId="0" applyNumberFormat="1" applyFont="1" applyFill="1" applyBorder="1"/>
    <xf numFmtId="0" fontId="7" fillId="0" borderId="0" xfId="0" applyFont="1" applyFill="1" applyBorder="1" applyAlignment="1">
      <alignment horizontal="right"/>
    </xf>
    <xf numFmtId="8" fontId="7" fillId="0" borderId="0" xfId="0" applyNumberFormat="1" applyFont="1" applyFill="1" applyBorder="1"/>
    <xf numFmtId="0" fontId="16" fillId="0" borderId="0" xfId="0" applyFont="1"/>
    <xf numFmtId="0" fontId="3" fillId="0" borderId="17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3" fillId="0" borderId="35" xfId="0" applyFont="1" applyBorder="1" applyAlignment="1">
      <alignment horizontal="left"/>
    </xf>
    <xf numFmtId="44" fontId="3" fillId="0" borderId="3" xfId="2" applyFont="1" applyBorder="1" applyAlignment="1">
      <alignment horizontal="right"/>
    </xf>
    <xf numFmtId="44" fontId="3" fillId="0" borderId="36" xfId="2" applyFont="1" applyBorder="1" applyAlignment="1">
      <alignment horizontal="right"/>
    </xf>
    <xf numFmtId="44" fontId="3" fillId="0" borderId="0" xfId="2" applyFont="1" applyBorder="1" applyAlignment="1">
      <alignment horizontal="right"/>
    </xf>
    <xf numFmtId="0" fontId="3" fillId="0" borderId="37" xfId="0" applyFont="1" applyBorder="1" applyAlignment="1">
      <alignment horizontal="left"/>
    </xf>
    <xf numFmtId="0" fontId="7" fillId="0" borderId="6" xfId="0" applyFont="1" applyBorder="1"/>
    <xf numFmtId="44" fontId="3" fillId="0" borderId="6" xfId="2" applyFont="1" applyBorder="1" applyAlignment="1">
      <alignment horizontal="right"/>
    </xf>
    <xf numFmtId="0" fontId="15" fillId="0" borderId="17" xfId="0" applyFont="1" applyBorder="1" applyAlignment="1">
      <alignment horizontal="left"/>
    </xf>
    <xf numFmtId="44" fontId="4" fillId="0" borderId="0" xfId="2" applyFont="1" applyBorder="1" applyAlignment="1">
      <alignment horizontal="right"/>
    </xf>
    <xf numFmtId="44" fontId="7" fillId="0" borderId="18" xfId="0" applyNumberFormat="1" applyFont="1" applyBorder="1"/>
    <xf numFmtId="0" fontId="18" fillId="0" borderId="39" xfId="0" applyFont="1" applyBorder="1" applyAlignment="1">
      <alignment horizontal="left"/>
    </xf>
    <xf numFmtId="44" fontId="18" fillId="0" borderId="0" xfId="2" applyFont="1" applyBorder="1" applyAlignment="1"/>
    <xf numFmtId="0" fontId="15" fillId="0" borderId="0" xfId="0" applyFont="1" applyBorder="1" applyAlignment="1">
      <alignment horizontal="left"/>
    </xf>
    <xf numFmtId="0" fontId="17" fillId="0" borderId="17" xfId="0" applyFont="1" applyBorder="1"/>
    <xf numFmtId="0" fontId="3" fillId="0" borderId="35" xfId="0" applyFont="1" applyBorder="1"/>
    <xf numFmtId="0" fontId="3" fillId="0" borderId="3" xfId="0" applyFont="1" applyBorder="1"/>
    <xf numFmtId="44" fontId="3" fillId="0" borderId="3" xfId="2" applyFont="1" applyBorder="1"/>
    <xf numFmtId="44" fontId="3" fillId="0" borderId="36" xfId="2" applyFont="1" applyBorder="1"/>
    <xf numFmtId="0" fontId="3" fillId="0" borderId="17" xfId="0" applyFont="1" applyBorder="1"/>
    <xf numFmtId="44" fontId="3" fillId="0" borderId="18" xfId="2" applyFont="1" applyBorder="1"/>
    <xf numFmtId="0" fontId="3" fillId="0" borderId="37" xfId="0" applyFont="1" applyBorder="1"/>
    <xf numFmtId="0" fontId="3" fillId="0" borderId="6" xfId="0" applyFont="1" applyBorder="1"/>
    <xf numFmtId="44" fontId="3" fillId="0" borderId="6" xfId="2" applyFont="1" applyBorder="1"/>
    <xf numFmtId="44" fontId="3" fillId="0" borderId="38" xfId="2" applyFont="1" applyBorder="1"/>
    <xf numFmtId="0" fontId="17" fillId="0" borderId="18" xfId="0" applyFont="1" applyBorder="1"/>
    <xf numFmtId="0" fontId="18" fillId="0" borderId="39" xfId="0" applyFont="1" applyBorder="1"/>
    <xf numFmtId="0" fontId="7" fillId="0" borderId="32" xfId="0" applyFont="1" applyBorder="1"/>
    <xf numFmtId="44" fontId="18" fillId="0" borderId="32" xfId="0" applyNumberFormat="1" applyFont="1" applyBorder="1"/>
    <xf numFmtId="44" fontId="18" fillId="0" borderId="40" xfId="0" applyNumberFormat="1" applyFont="1" applyBorder="1"/>
    <xf numFmtId="44" fontId="17" fillId="0" borderId="0" xfId="2" applyFont="1" applyBorder="1"/>
    <xf numFmtId="44" fontId="17" fillId="0" borderId="18" xfId="2" applyFont="1" applyBorder="1"/>
    <xf numFmtId="44" fontId="18" fillId="0" borderId="32" xfId="2" applyFont="1" applyBorder="1"/>
    <xf numFmtId="44" fontId="18" fillId="0" borderId="40" xfId="2" applyFont="1" applyBorder="1"/>
    <xf numFmtId="0" fontId="17" fillId="0" borderId="0" xfId="0" applyFont="1"/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42" xfId="0" applyFont="1" applyBorder="1"/>
    <xf numFmtId="0" fontId="3" fillId="0" borderId="12" xfId="0" applyFont="1" applyBorder="1"/>
    <xf numFmtId="44" fontId="3" fillId="0" borderId="12" xfId="2" applyFont="1" applyBorder="1"/>
    <xf numFmtId="44" fontId="3" fillId="0" borderId="26" xfId="2" applyFont="1" applyBorder="1"/>
    <xf numFmtId="44" fontId="21" fillId="0" borderId="0" xfId="2" applyFont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/>
    <xf numFmtId="0" fontId="5" fillId="0" borderId="0" xfId="0" applyFont="1" applyBorder="1" applyAlignment="1"/>
    <xf numFmtId="0" fontId="23" fillId="0" borderId="0" xfId="0" applyFont="1" applyBorder="1"/>
    <xf numFmtId="0" fontId="3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/>
    <xf numFmtId="0" fontId="15" fillId="0" borderId="2" xfId="0" applyFont="1" applyBorder="1" applyAlignment="1">
      <alignment horizontal="left"/>
    </xf>
    <xf numFmtId="44" fontId="4" fillId="0" borderId="4" xfId="2" applyFont="1" applyBorder="1" applyAlignment="1">
      <alignment horizontal="right"/>
    </xf>
    <xf numFmtId="164" fontId="25" fillId="0" borderId="2" xfId="1" applyNumberFormat="1" applyFont="1" applyBorder="1" applyAlignment="1">
      <alignment horizontal="right"/>
    </xf>
    <xf numFmtId="164" fontId="25" fillId="0" borderId="3" xfId="1" applyNumberFormat="1" applyFont="1" applyBorder="1" applyAlignment="1">
      <alignment horizontal="right"/>
    </xf>
    <xf numFmtId="164" fontId="25" fillId="0" borderId="4" xfId="1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4" fontId="5" fillId="0" borderId="11" xfId="2" applyFont="1" applyBorder="1" applyAlignment="1">
      <alignment horizontal="right"/>
    </xf>
    <xf numFmtId="44" fontId="26" fillId="0" borderId="0" xfId="2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44" fontId="5" fillId="0" borderId="7" xfId="2" applyFont="1" applyBorder="1" applyAlignment="1">
      <alignment horizontal="right"/>
    </xf>
    <xf numFmtId="0" fontId="23" fillId="0" borderId="5" xfId="0" applyFont="1" applyBorder="1"/>
    <xf numFmtId="0" fontId="23" fillId="0" borderId="6" xfId="0" applyFont="1" applyBorder="1"/>
    <xf numFmtId="0" fontId="23" fillId="0" borderId="7" xfId="0" applyFont="1" applyBorder="1"/>
    <xf numFmtId="0" fontId="3" fillId="0" borderId="0" xfId="0" applyFont="1" applyBorder="1" applyAlignment="1">
      <alignment horizontal="right"/>
    </xf>
    <xf numFmtId="0" fontId="23" fillId="0" borderId="2" xfId="0" applyFont="1" applyBorder="1"/>
    <xf numFmtId="0" fontId="25" fillId="0" borderId="3" xfId="0" applyFont="1" applyBorder="1"/>
    <xf numFmtId="0" fontId="23" fillId="0" borderId="4" xfId="0" applyFont="1" applyBorder="1"/>
    <xf numFmtId="0" fontId="13" fillId="0" borderId="10" xfId="0" applyFont="1" applyBorder="1"/>
    <xf numFmtId="0" fontId="13" fillId="0" borderId="11" xfId="0" applyFont="1" applyBorder="1"/>
    <xf numFmtId="0" fontId="17" fillId="0" borderId="10" xfId="0" applyFont="1" applyBorder="1"/>
    <xf numFmtId="0" fontId="17" fillId="0" borderId="11" xfId="0" applyFont="1" applyBorder="1"/>
    <xf numFmtId="0" fontId="3" fillId="0" borderId="5" xfId="0" applyFont="1" applyBorder="1" applyAlignment="1">
      <alignment horizontal="right" wrapText="1"/>
    </xf>
    <xf numFmtId="0" fontId="5" fillId="0" borderId="7" xfId="0" applyFont="1" applyBorder="1"/>
    <xf numFmtId="0" fontId="5" fillId="0" borderId="0" xfId="0" applyFont="1" applyBorder="1"/>
    <xf numFmtId="0" fontId="13" fillId="0" borderId="5" xfId="0" applyFont="1" applyBorder="1"/>
    <xf numFmtId="0" fontId="13" fillId="0" borderId="6" xfId="0" applyFont="1" applyBorder="1"/>
    <xf numFmtId="0" fontId="27" fillId="0" borderId="6" xfId="0" applyFont="1" applyBorder="1"/>
    <xf numFmtId="0" fontId="13" fillId="0" borderId="7" xfId="0" applyFont="1" applyBorder="1"/>
    <xf numFmtId="0" fontId="15" fillId="0" borderId="8" xfId="0" applyFont="1" applyBorder="1" applyAlignment="1">
      <alignment horizontal="left"/>
    </xf>
    <xf numFmtId="0" fontId="7" fillId="0" borderId="12" xfId="0" applyFont="1" applyBorder="1"/>
    <xf numFmtId="44" fontId="4" fillId="0" borderId="9" xfId="2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3" fillId="0" borderId="0" xfId="0" applyFont="1" applyAlignment="1">
      <alignment horizontal="center"/>
    </xf>
    <xf numFmtId="43" fontId="28" fillId="0" borderId="10" xfId="1" applyFont="1" applyFill="1" applyBorder="1"/>
    <xf numFmtId="43" fontId="28" fillId="0" borderId="0" xfId="1" applyFont="1" applyFill="1" applyBorder="1"/>
    <xf numFmtId="43" fontId="28" fillId="0" borderId="11" xfId="1" applyFont="1" applyFill="1" applyBorder="1"/>
    <xf numFmtId="43" fontId="28" fillId="0" borderId="6" xfId="1" applyFont="1" applyFill="1" applyBorder="1"/>
    <xf numFmtId="43" fontId="28" fillId="0" borderId="7" xfId="1" applyFont="1" applyFill="1" applyBorder="1"/>
    <xf numFmtId="43" fontId="28" fillId="0" borderId="0" xfId="1" applyFont="1" applyFill="1"/>
    <xf numFmtId="0" fontId="28" fillId="0" borderId="0" xfId="0" applyFont="1" applyFill="1"/>
    <xf numFmtId="0" fontId="19" fillId="0" borderId="0" xfId="0" applyFont="1"/>
    <xf numFmtId="44" fontId="17" fillId="0" borderId="0" xfId="2" applyFont="1"/>
    <xf numFmtId="0" fontId="18" fillId="0" borderId="0" xfId="0" applyFont="1"/>
    <xf numFmtId="44" fontId="18" fillId="0" borderId="0" xfId="2" applyFont="1"/>
    <xf numFmtId="0" fontId="17" fillId="0" borderId="23" xfId="0" applyFont="1" applyBorder="1"/>
    <xf numFmtId="0" fontId="28" fillId="0" borderId="23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8" fontId="17" fillId="0" borderId="28" xfId="0" applyNumberFormat="1" applyFont="1" applyBorder="1"/>
    <xf numFmtId="0" fontId="17" fillId="0" borderId="30" xfId="0" applyFont="1" applyBorder="1"/>
    <xf numFmtId="0" fontId="17" fillId="0" borderId="30" xfId="0" applyFont="1" applyBorder="1" applyAlignment="1">
      <alignment horizontal="center" vertical="center"/>
    </xf>
    <xf numFmtId="8" fontId="17" fillId="0" borderId="31" xfId="0" applyNumberFormat="1" applyFont="1" applyBorder="1"/>
    <xf numFmtId="0" fontId="17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44" fontId="3" fillId="0" borderId="0" xfId="2" applyFont="1" applyFill="1"/>
    <xf numFmtId="0" fontId="18" fillId="0" borderId="0" xfId="0" applyFont="1" applyFill="1" applyAlignment="1">
      <alignment wrapText="1"/>
    </xf>
    <xf numFmtId="44" fontId="18" fillId="0" borderId="0" xfId="2" applyFont="1" applyFill="1"/>
    <xf numFmtId="0" fontId="3" fillId="0" borderId="17" xfId="0" applyFont="1" applyFill="1" applyBorder="1"/>
    <xf numFmtId="44" fontId="3" fillId="0" borderId="18" xfId="2" applyFont="1" applyFill="1" applyBorder="1"/>
    <xf numFmtId="44" fontId="3" fillId="0" borderId="36" xfId="2" applyFont="1" applyFill="1" applyBorder="1" applyAlignment="1"/>
    <xf numFmtId="0" fontId="3" fillId="0" borderId="17" xfId="0" applyFont="1" applyFill="1" applyBorder="1" applyAlignment="1">
      <alignment wrapText="1"/>
    </xf>
    <xf numFmtId="0" fontId="4" fillId="0" borderId="39" xfId="0" applyFont="1" applyFill="1" applyBorder="1"/>
    <xf numFmtId="44" fontId="4" fillId="0" borderId="40" xfId="2" applyFont="1" applyFill="1" applyBorder="1"/>
    <xf numFmtId="44" fontId="9" fillId="0" borderId="18" xfId="2" applyFont="1" applyFill="1" applyBorder="1"/>
    <xf numFmtId="0" fontId="9" fillId="0" borderId="15" xfId="0" applyFont="1" applyFill="1" applyBorder="1" applyAlignment="1">
      <alignment wrapText="1"/>
    </xf>
    <xf numFmtId="0" fontId="10" fillId="0" borderId="16" xfId="0" applyFont="1" applyFill="1" applyBorder="1"/>
    <xf numFmtId="0" fontId="9" fillId="0" borderId="17" xfId="0" applyFont="1" applyFill="1" applyBorder="1" applyAlignment="1">
      <alignment wrapText="1"/>
    </xf>
    <xf numFmtId="44" fontId="9" fillId="0" borderId="18" xfId="0" applyNumberFormat="1" applyFont="1" applyFill="1" applyBorder="1"/>
    <xf numFmtId="0" fontId="9" fillId="0" borderId="19" xfId="0" applyFont="1" applyFill="1" applyBorder="1" applyAlignment="1"/>
    <xf numFmtId="44" fontId="9" fillId="0" borderId="20" xfId="0" applyNumberFormat="1" applyFont="1" applyFill="1" applyBorder="1"/>
    <xf numFmtId="0" fontId="9" fillId="0" borderId="15" xfId="0" applyFont="1" applyFill="1" applyBorder="1" applyAlignment="1">
      <alignment horizontal="right" wrapText="1"/>
    </xf>
    <xf numFmtId="44" fontId="9" fillId="0" borderId="16" xfId="0" applyNumberFormat="1" applyFont="1" applyFill="1" applyBorder="1"/>
    <xf numFmtId="0" fontId="9" fillId="0" borderId="17" xfId="0" applyFont="1" applyFill="1" applyBorder="1" applyAlignment="1">
      <alignment horizontal="right" wrapText="1"/>
    </xf>
    <xf numFmtId="0" fontId="9" fillId="0" borderId="19" xfId="0" applyFont="1" applyFill="1" applyBorder="1" applyAlignment="1">
      <alignment horizontal="right" wrapText="1"/>
    </xf>
    <xf numFmtId="44" fontId="17" fillId="0" borderId="1" xfId="0" applyNumberFormat="1" applyFont="1" applyBorder="1"/>
    <xf numFmtId="44" fontId="17" fillId="0" borderId="30" xfId="0" applyNumberFormat="1" applyFont="1" applyBorder="1"/>
    <xf numFmtId="0" fontId="0" fillId="0" borderId="0" xfId="0" applyAlignment="1">
      <alignment horizontal="center"/>
    </xf>
    <xf numFmtId="0" fontId="33" fillId="0" borderId="0" xfId="0" applyFont="1" applyAlignment="1">
      <alignment horizontal="right"/>
    </xf>
    <xf numFmtId="8" fontId="0" fillId="0" borderId="0" xfId="0" applyNumberFormat="1"/>
    <xf numFmtId="0" fontId="15" fillId="0" borderId="0" xfId="0" applyFont="1" applyAlignment="1">
      <alignment horizontal="right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3" xfId="0" applyFont="1" applyFill="1" applyBorder="1" applyAlignment="1">
      <alignment horizontal="right"/>
    </xf>
    <xf numFmtId="44" fontId="3" fillId="0" borderId="34" xfId="0" applyNumberFormat="1" applyFont="1" applyFill="1" applyBorder="1"/>
    <xf numFmtId="38" fontId="3" fillId="0" borderId="0" xfId="0" applyNumberFormat="1" applyFont="1" applyFill="1"/>
    <xf numFmtId="0" fontId="20" fillId="0" borderId="0" xfId="0" applyFont="1" applyFill="1"/>
    <xf numFmtId="8" fontId="3" fillId="0" borderId="34" xfId="0" applyNumberFormat="1" applyFont="1" applyFill="1" applyBorder="1"/>
    <xf numFmtId="44" fontId="18" fillId="0" borderId="32" xfId="0" applyNumberFormat="1" applyFont="1" applyBorder="1" applyAlignment="1">
      <alignment horizontal="center"/>
    </xf>
    <xf numFmtId="44" fontId="18" fillId="0" borderId="32" xfId="2" applyFont="1" applyBorder="1" applyAlignment="1">
      <alignment horizontal="center"/>
    </xf>
    <xf numFmtId="44" fontId="3" fillId="0" borderId="38" xfId="0" applyNumberFormat="1" applyFont="1" applyBorder="1"/>
    <xf numFmtId="44" fontId="3" fillId="0" borderId="18" xfId="0" applyNumberFormat="1" applyFont="1" applyBorder="1"/>
    <xf numFmtId="0" fontId="14" fillId="0" borderId="10" xfId="0" applyFont="1" applyBorder="1"/>
    <xf numFmtId="44" fontId="7" fillId="0" borderId="11" xfId="0" applyNumberFormat="1" applyFont="1" applyBorder="1"/>
    <xf numFmtId="0" fontId="0" fillId="0" borderId="6" xfId="0" applyBorder="1"/>
    <xf numFmtId="44" fontId="18" fillId="0" borderId="0" xfId="0" applyNumberFormat="1" applyFont="1" applyFill="1" applyBorder="1"/>
    <xf numFmtId="0" fontId="4" fillId="0" borderId="0" xfId="0" applyFont="1" applyFill="1" applyBorder="1" applyAlignment="1">
      <alignment horizontal="right"/>
    </xf>
    <xf numFmtId="8" fontId="4" fillId="0" borderId="0" xfId="0" applyNumberFormat="1" applyFont="1" applyFill="1" applyBorder="1"/>
    <xf numFmtId="0" fontId="34" fillId="0" borderId="2" xfId="0" applyFont="1" applyFill="1" applyBorder="1"/>
    <xf numFmtId="0" fontId="23" fillId="0" borderId="4" xfId="0" applyFont="1" applyFill="1" applyBorder="1"/>
    <xf numFmtId="0" fontId="23" fillId="0" borderId="10" xfId="0" applyFont="1" applyFill="1" applyBorder="1"/>
    <xf numFmtId="0" fontId="23" fillId="0" borderId="11" xfId="0" applyFont="1" applyFill="1" applyBorder="1"/>
    <xf numFmtId="0" fontId="23" fillId="0" borderId="11" xfId="0" applyFont="1" applyBorder="1"/>
    <xf numFmtId="8" fontId="25" fillId="0" borderId="7" xfId="0" applyNumberFormat="1" applyFont="1" applyFill="1" applyBorder="1"/>
    <xf numFmtId="0" fontId="25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8" xfId="0" applyFont="1" applyFill="1" applyBorder="1" applyAlignment="1">
      <alignment horizontal="left" wrapText="1"/>
    </xf>
    <xf numFmtId="0" fontId="13" fillId="0" borderId="0" xfId="0" applyFont="1" applyFill="1" applyBorder="1"/>
    <xf numFmtId="0" fontId="3" fillId="0" borderId="0" xfId="0" applyFont="1" applyFill="1" applyBorder="1" applyAlignment="1">
      <alignment horizontal="left" wrapText="1"/>
    </xf>
    <xf numFmtId="0" fontId="15" fillId="0" borderId="0" xfId="0" applyFont="1" applyFill="1" applyBorder="1"/>
    <xf numFmtId="44" fontId="3" fillId="0" borderId="0" xfId="2" applyFont="1" applyFill="1" applyBorder="1" applyAlignment="1">
      <alignment horizontal="center"/>
    </xf>
    <xf numFmtId="44" fontId="3" fillId="0" borderId="9" xfId="2" applyFont="1" applyFill="1" applyBorder="1" applyAlignment="1">
      <alignment horizontal="center"/>
    </xf>
    <xf numFmtId="0" fontId="4" fillId="0" borderId="0" xfId="0" applyFont="1" applyFill="1" applyBorder="1"/>
    <xf numFmtId="38" fontId="4" fillId="0" borderId="0" xfId="0" applyNumberFormat="1" applyFont="1" applyFill="1" applyBorder="1" applyAlignment="1">
      <alignment horizontal="right"/>
    </xf>
    <xf numFmtId="8" fontId="4" fillId="0" borderId="0" xfId="0" applyNumberFormat="1" applyFont="1" applyFill="1" applyBorder="1" applyAlignment="1">
      <alignment horizontal="right"/>
    </xf>
    <xf numFmtId="0" fontId="15" fillId="0" borderId="0" xfId="0" applyFont="1"/>
    <xf numFmtId="0" fontId="35" fillId="0" borderId="0" xfId="0" applyFont="1" applyAlignment="1">
      <alignment horizontal="right"/>
    </xf>
    <xf numFmtId="0" fontId="35" fillId="0" borderId="0" xfId="0" applyFont="1"/>
    <xf numFmtId="0" fontId="8" fillId="0" borderId="17" xfId="3" applyFont="1" applyFill="1" applyBorder="1" applyProtection="1">
      <protection locked="0"/>
    </xf>
    <xf numFmtId="0" fontId="8" fillId="0" borderId="17" xfId="3" applyFont="1" applyFill="1" applyBorder="1" applyAlignment="1" applyProtection="1">
      <protection locked="0"/>
    </xf>
    <xf numFmtId="0" fontId="4" fillId="0" borderId="0" xfId="0" applyFont="1" applyAlignment="1">
      <alignment wrapText="1"/>
    </xf>
    <xf numFmtId="44" fontId="4" fillId="0" borderId="0" xfId="2" applyFont="1"/>
    <xf numFmtId="44" fontId="3" fillId="0" borderId="18" xfId="2" applyFont="1" applyBorder="1" applyAlignment="1">
      <alignment horizontal="right"/>
    </xf>
    <xf numFmtId="44" fontId="3" fillId="0" borderId="38" xfId="2" applyFont="1" applyBorder="1" applyAlignment="1">
      <alignment horizontal="right"/>
    </xf>
    <xf numFmtId="0" fontId="20" fillId="0" borderId="38" xfId="0" applyFont="1" applyBorder="1" applyAlignment="1">
      <alignment horizontal="center"/>
    </xf>
    <xf numFmtId="44" fontId="7" fillId="0" borderId="0" xfId="0" applyNumberFormat="1" applyFont="1"/>
    <xf numFmtId="0" fontId="16" fillId="0" borderId="0" xfId="0" applyFont="1" applyBorder="1"/>
    <xf numFmtId="0" fontId="35" fillId="0" borderId="0" xfId="0" applyFont="1" applyBorder="1" applyAlignment="1">
      <alignment horizontal="right"/>
    </xf>
    <xf numFmtId="0" fontId="35" fillId="0" borderId="0" xfId="0" applyFont="1" applyFill="1" applyBorder="1"/>
    <xf numFmtId="14" fontId="17" fillId="0" borderId="0" xfId="0" applyNumberFormat="1" applyFont="1" applyBorder="1"/>
    <xf numFmtId="0" fontId="17" fillId="0" borderId="0" xfId="0" applyFont="1" applyBorder="1" applyAlignment="1">
      <alignment wrapText="1"/>
    </xf>
    <xf numFmtId="0" fontId="35" fillId="0" borderId="0" xfId="0" applyFont="1" applyBorder="1" applyAlignment="1">
      <alignment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0" fontId="7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5" fillId="0" borderId="2" xfId="0" applyFont="1" applyFill="1" applyBorder="1"/>
    <xf numFmtId="0" fontId="4" fillId="0" borderId="2" xfId="0" applyFont="1" applyFill="1" applyBorder="1"/>
    <xf numFmtId="44" fontId="4" fillId="0" borderId="4" xfId="2" applyFont="1" applyFill="1" applyBorder="1"/>
    <xf numFmtId="44" fontId="4" fillId="0" borderId="0" xfId="2" applyFont="1" applyFill="1" applyBorder="1"/>
    <xf numFmtId="0" fontId="29" fillId="0" borderId="2" xfId="0" applyFont="1" applyFill="1" applyBorder="1"/>
    <xf numFmtId="0" fontId="29" fillId="0" borderId="3" xfId="0" applyFont="1" applyFill="1" applyBorder="1"/>
    <xf numFmtId="44" fontId="29" fillId="0" borderId="3" xfId="0" applyNumberFormat="1" applyFont="1" applyFill="1" applyBorder="1"/>
    <xf numFmtId="0" fontId="29" fillId="0" borderId="4" xfId="0" applyFont="1" applyFill="1" applyBorder="1"/>
    <xf numFmtId="0" fontId="30" fillId="0" borderId="0" xfId="0" applyFont="1" applyFill="1"/>
    <xf numFmtId="0" fontId="7" fillId="0" borderId="10" xfId="0" applyFont="1" applyFill="1" applyBorder="1" applyAlignment="1">
      <alignment horizontal="right" wrapText="1"/>
    </xf>
    <xf numFmtId="44" fontId="7" fillId="0" borderId="10" xfId="2" applyFont="1" applyFill="1" applyBorder="1"/>
    <xf numFmtId="0" fontId="28" fillId="0" borderId="10" xfId="0" applyFont="1" applyFill="1" applyBorder="1"/>
    <xf numFmtId="0" fontId="28" fillId="0" borderId="0" xfId="0" applyFont="1" applyFill="1" applyBorder="1"/>
    <xf numFmtId="0" fontId="28" fillId="0" borderId="11" xfId="0" applyFont="1" applyFill="1" applyBorder="1"/>
    <xf numFmtId="43" fontId="23" fillId="0" borderId="0" xfId="0" applyNumberFormat="1" applyFont="1" applyFill="1"/>
    <xf numFmtId="0" fontId="7" fillId="0" borderId="5" xfId="0" applyFont="1" applyFill="1" applyBorder="1" applyAlignment="1">
      <alignment horizontal="right"/>
    </xf>
    <xf numFmtId="44" fontId="7" fillId="0" borderId="5" xfId="2" applyFont="1" applyFill="1" applyBorder="1"/>
    <xf numFmtId="0" fontId="28" fillId="0" borderId="5" xfId="0" applyFont="1" applyFill="1" applyBorder="1"/>
    <xf numFmtId="0" fontId="28" fillId="0" borderId="6" xfId="0" applyFont="1" applyFill="1" applyBorder="1"/>
    <xf numFmtId="0" fontId="28" fillId="0" borderId="7" xfId="0" applyFont="1" applyFill="1" applyBorder="1"/>
    <xf numFmtId="0" fontId="15" fillId="0" borderId="43" xfId="0" applyFont="1" applyFill="1" applyBorder="1"/>
    <xf numFmtId="44" fontId="3" fillId="0" borderId="2" xfId="2" applyFont="1" applyFill="1" applyBorder="1"/>
    <xf numFmtId="43" fontId="29" fillId="0" borderId="2" xfId="0" applyNumberFormat="1" applyFont="1" applyFill="1" applyBorder="1"/>
    <xf numFmtId="43" fontId="29" fillId="0" borderId="3" xfId="0" applyNumberFormat="1" applyFont="1" applyFill="1" applyBorder="1"/>
    <xf numFmtId="43" fontId="29" fillId="0" borderId="4" xfId="0" applyNumberFormat="1" applyFont="1" applyFill="1" applyBorder="1"/>
    <xf numFmtId="0" fontId="7" fillId="0" borderId="44" xfId="0" applyFont="1" applyFill="1" applyBorder="1" applyAlignment="1">
      <alignment horizontal="right"/>
    </xf>
    <xf numFmtId="0" fontId="3" fillId="0" borderId="11" xfId="0" applyFont="1" applyFill="1" applyBorder="1"/>
    <xf numFmtId="0" fontId="7" fillId="0" borderId="44" xfId="0" applyFont="1" applyFill="1" applyBorder="1" applyAlignment="1">
      <alignment horizontal="right" wrapText="1"/>
    </xf>
    <xf numFmtId="0" fontId="7" fillId="0" borderId="45" xfId="0" applyFont="1" applyFill="1" applyBorder="1" applyAlignment="1">
      <alignment horizontal="right"/>
    </xf>
    <xf numFmtId="0" fontId="3" fillId="0" borderId="7" xfId="0" applyFont="1" applyFill="1" applyBorder="1"/>
    <xf numFmtId="0" fontId="3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44" fontId="3" fillId="0" borderId="11" xfId="2" applyFont="1" applyFill="1" applyBorder="1"/>
    <xf numFmtId="44" fontId="3" fillId="0" borderId="7" xfId="2" applyFont="1" applyFill="1" applyBorder="1"/>
    <xf numFmtId="44" fontId="4" fillId="0" borderId="2" xfId="2" applyFont="1" applyFill="1" applyBorder="1"/>
    <xf numFmtId="0" fontId="31" fillId="0" borderId="2" xfId="0" applyFont="1" applyFill="1" applyBorder="1"/>
    <xf numFmtId="2" fontId="29" fillId="0" borderId="3" xfId="0" applyNumberFormat="1" applyFont="1" applyFill="1" applyBorder="1"/>
    <xf numFmtId="0" fontId="31" fillId="0" borderId="4" xfId="0" applyFont="1" applyFill="1" applyBorder="1"/>
    <xf numFmtId="2" fontId="30" fillId="0" borderId="0" xfId="0" applyNumberFormat="1" applyFont="1" applyFill="1"/>
    <xf numFmtId="0" fontId="4" fillId="0" borderId="0" xfId="0" applyFont="1" applyFill="1"/>
    <xf numFmtId="2" fontId="28" fillId="0" borderId="0" xfId="0" applyNumberFormat="1" applyFont="1" applyFill="1" applyBorder="1"/>
    <xf numFmtId="0" fontId="15" fillId="0" borderId="2" xfId="0" applyFont="1" applyFill="1" applyBorder="1" applyAlignment="1">
      <alignment wrapText="1"/>
    </xf>
    <xf numFmtId="44" fontId="3" fillId="0" borderId="3" xfId="2" applyFont="1" applyFill="1" applyBorder="1"/>
    <xf numFmtId="2" fontId="29" fillId="0" borderId="2" xfId="0" applyNumberFormat="1" applyFont="1" applyFill="1" applyBorder="1"/>
    <xf numFmtId="2" fontId="29" fillId="0" borderId="4" xfId="0" applyNumberFormat="1" applyFont="1" applyFill="1" applyBorder="1"/>
    <xf numFmtId="44" fontId="7" fillId="0" borderId="0" xfId="2" applyNumberFormat="1" applyFont="1" applyFill="1" applyBorder="1"/>
    <xf numFmtId="44" fontId="4" fillId="0" borderId="11" xfId="2" applyFont="1" applyFill="1" applyBorder="1"/>
    <xf numFmtId="2" fontId="28" fillId="0" borderId="10" xfId="0" applyNumberFormat="1" applyFont="1" applyFill="1" applyBorder="1"/>
    <xf numFmtId="2" fontId="28" fillId="0" borderId="11" xfId="0" applyNumberFormat="1" applyFont="1" applyFill="1" applyBorder="1"/>
    <xf numFmtId="2" fontId="23" fillId="0" borderId="0" xfId="0" applyNumberFormat="1" applyFont="1" applyFill="1"/>
    <xf numFmtId="44" fontId="4" fillId="0" borderId="7" xfId="2" applyFont="1" applyFill="1" applyBorder="1"/>
    <xf numFmtId="2" fontId="28" fillId="0" borderId="5" xfId="0" applyNumberFormat="1" applyFont="1" applyFill="1" applyBorder="1"/>
    <xf numFmtId="2" fontId="28" fillId="0" borderId="6" xfId="0" applyNumberFormat="1" applyFont="1" applyFill="1" applyBorder="1"/>
    <xf numFmtId="2" fontId="28" fillId="0" borderId="7" xfId="0" applyNumberFormat="1" applyFont="1" applyFill="1" applyBorder="1"/>
    <xf numFmtId="0" fontId="32" fillId="0" borderId="8" xfId="0" applyFont="1" applyFill="1" applyBorder="1" applyAlignment="1">
      <alignment wrapText="1"/>
    </xf>
    <xf numFmtId="44" fontId="31" fillId="0" borderId="0" xfId="0" applyNumberFormat="1" applyFont="1" applyFill="1" applyBorder="1"/>
    <xf numFmtId="0" fontId="31" fillId="0" borderId="0" xfId="0" applyFont="1" applyFill="1" applyBorder="1"/>
    <xf numFmtId="2" fontId="25" fillId="0" borderId="0" xfId="0" applyNumberFormat="1" applyFont="1" applyFill="1"/>
    <xf numFmtId="0" fontId="12" fillId="0" borderId="0" xfId="0" applyFont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5" fillId="0" borderId="8" xfId="0" applyFont="1" applyFill="1" applyBorder="1"/>
    <xf numFmtId="44" fontId="3" fillId="0" borderId="8" xfId="2" applyFont="1" applyFill="1" applyBorder="1"/>
    <xf numFmtId="44" fontId="4" fillId="0" borderId="9" xfId="2" applyFont="1" applyFill="1" applyBorder="1"/>
    <xf numFmtId="0" fontId="29" fillId="0" borderId="8" xfId="0" applyFont="1" applyFill="1" applyBorder="1"/>
    <xf numFmtId="0" fontId="29" fillId="0" borderId="12" xfId="0" applyFont="1" applyFill="1" applyBorder="1"/>
    <xf numFmtId="0" fontId="29" fillId="0" borderId="9" xfId="0" applyFont="1" applyFill="1" applyBorder="1"/>
    <xf numFmtId="0" fontId="36" fillId="0" borderId="17" xfId="3" applyFont="1" applyFill="1" applyBorder="1" applyProtection="1">
      <protection locked="0"/>
    </xf>
    <xf numFmtId="0" fontId="21" fillId="0" borderId="5" xfId="0" applyFont="1" applyFill="1" applyBorder="1"/>
    <xf numFmtId="0" fontId="21" fillId="0" borderId="6" xfId="0" applyFont="1" applyFill="1" applyBorder="1"/>
    <xf numFmtId="0" fontId="4" fillId="0" borderId="4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5" fillId="0" borderId="8" xfId="0" applyFont="1" applyBorder="1" applyAlignment="1">
      <alignment horizontal="center" wrapText="1"/>
    </xf>
    <xf numFmtId="0" fontId="35" fillId="0" borderId="9" xfId="0" applyFont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/>
    </xf>
    <xf numFmtId="44" fontId="32" fillId="0" borderId="12" xfId="2" applyFont="1" applyFill="1" applyBorder="1" applyAlignment="1">
      <alignment horizontal="center"/>
    </xf>
    <xf numFmtId="44" fontId="32" fillId="0" borderId="9" xfId="2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44" fontId="12" fillId="0" borderId="12" xfId="0" applyNumberFormat="1" applyFont="1" applyBorder="1" applyAlignment="1">
      <alignment horizontal="center"/>
    </xf>
    <xf numFmtId="44" fontId="12" fillId="0" borderId="9" xfId="0" applyNumberFormat="1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4"/>
  <sheetViews>
    <sheetView tabSelected="1" zoomScaleNormal="100" workbookViewId="0">
      <selection activeCell="E17" sqref="E17"/>
    </sheetView>
  </sheetViews>
  <sheetFormatPr defaultColWidth="9.140625" defaultRowHeight="21" customHeight="1" x14ac:dyDescent="0.25"/>
  <cols>
    <col min="1" max="1" width="8.140625" style="10" customWidth="1"/>
    <col min="2" max="2" width="52.140625" style="10" customWidth="1"/>
    <col min="3" max="3" width="22.5703125" style="10" customWidth="1"/>
    <col min="4" max="5" width="20.7109375" style="10" customWidth="1"/>
    <col min="6" max="16384" width="9.140625" style="10"/>
  </cols>
  <sheetData>
    <row r="1" spans="2:9" ht="33.75" customHeight="1" x14ac:dyDescent="0.45">
      <c r="B1" s="322" t="s">
        <v>175</v>
      </c>
      <c r="C1" s="323"/>
      <c r="D1" s="8"/>
      <c r="E1" s="8"/>
      <c r="F1" s="9"/>
      <c r="G1" s="9"/>
      <c r="H1" s="9"/>
      <c r="I1" s="9"/>
    </row>
    <row r="2" spans="2:9" ht="21" customHeight="1" thickBot="1" x14ac:dyDescent="0.5">
      <c r="B2" s="11"/>
      <c r="C2" s="11"/>
      <c r="D2" s="8"/>
      <c r="E2" s="8"/>
      <c r="F2" s="9"/>
      <c r="G2" s="9"/>
      <c r="H2" s="9"/>
      <c r="I2" s="9"/>
    </row>
    <row r="3" spans="2:9" ht="21" customHeight="1" x14ac:dyDescent="0.3">
      <c r="B3" s="320" t="s">
        <v>3</v>
      </c>
      <c r="C3" s="321"/>
      <c r="D3" s="12"/>
      <c r="E3" s="12"/>
      <c r="F3" s="12"/>
      <c r="G3" s="12"/>
      <c r="H3" s="12"/>
      <c r="I3" s="12"/>
    </row>
    <row r="4" spans="2:9" s="5" customFormat="1" ht="21" customHeight="1" x14ac:dyDescent="0.3">
      <c r="B4" s="231" t="s">
        <v>163</v>
      </c>
      <c r="C4" s="170">
        <v>100189.29</v>
      </c>
      <c r="D4" s="1"/>
      <c r="E4" s="1"/>
      <c r="F4" s="1"/>
      <c r="G4" s="1"/>
      <c r="H4" s="1"/>
      <c r="I4" s="1"/>
    </row>
    <row r="5" spans="2:9" s="5" customFormat="1" ht="21" customHeight="1" x14ac:dyDescent="0.3">
      <c r="B5" s="231" t="s">
        <v>0</v>
      </c>
      <c r="C5" s="169">
        <v>1516660.02</v>
      </c>
      <c r="D5" s="1"/>
      <c r="E5" s="1"/>
      <c r="F5" s="1"/>
    </row>
    <row r="6" spans="2:9" s="5" customFormat="1" ht="21" customHeight="1" x14ac:dyDescent="0.3">
      <c r="B6" s="168" t="s">
        <v>1</v>
      </c>
      <c r="C6" s="169">
        <v>20700</v>
      </c>
      <c r="D6" s="1"/>
      <c r="E6" s="1"/>
      <c r="F6" s="1"/>
    </row>
    <row r="7" spans="2:9" s="5" customFormat="1" ht="21" customHeight="1" x14ac:dyDescent="0.3">
      <c r="B7" s="171" t="s">
        <v>159</v>
      </c>
      <c r="C7" s="169">
        <v>17496</v>
      </c>
      <c r="D7" s="1"/>
      <c r="E7" s="1"/>
      <c r="F7" s="1"/>
    </row>
    <row r="8" spans="2:9" ht="21" customHeight="1" thickBot="1" x14ac:dyDescent="0.35">
      <c r="B8" s="172" t="s">
        <v>2</v>
      </c>
      <c r="C8" s="173">
        <f>SUM(C4:C7)</f>
        <v>1655045.31</v>
      </c>
      <c r="D8" s="12"/>
      <c r="E8" s="12"/>
      <c r="F8" s="12"/>
    </row>
    <row r="9" spans="2:9" ht="12.75" customHeight="1" thickBot="1" x14ac:dyDescent="0.35">
      <c r="B9" s="6"/>
      <c r="C9" s="2"/>
      <c r="D9" s="12"/>
      <c r="E9" s="12"/>
      <c r="F9" s="12"/>
    </row>
    <row r="10" spans="2:9" ht="21" customHeight="1" x14ac:dyDescent="0.3">
      <c r="B10" s="320" t="s">
        <v>4</v>
      </c>
      <c r="C10" s="321"/>
      <c r="D10" s="12"/>
      <c r="E10" s="12"/>
      <c r="F10" s="12"/>
    </row>
    <row r="11" spans="2:9" ht="21" customHeight="1" x14ac:dyDescent="0.3">
      <c r="B11" s="168" t="s">
        <v>139</v>
      </c>
      <c r="C11" s="174">
        <v>19160</v>
      </c>
      <c r="D11" s="12"/>
      <c r="E11" s="12"/>
      <c r="F11" s="12"/>
    </row>
    <row r="12" spans="2:9" ht="21" customHeight="1" x14ac:dyDescent="0.3">
      <c r="B12" s="230" t="s">
        <v>5</v>
      </c>
      <c r="C12" s="174">
        <v>1205366.5900000001</v>
      </c>
      <c r="D12" s="12"/>
      <c r="E12" s="12"/>
      <c r="F12" s="12"/>
    </row>
    <row r="13" spans="2:9" ht="21" customHeight="1" x14ac:dyDescent="0.3">
      <c r="B13" s="76" t="s">
        <v>6</v>
      </c>
      <c r="C13" s="174">
        <v>5832</v>
      </c>
      <c r="D13" s="12"/>
      <c r="E13" s="12"/>
      <c r="F13" s="12"/>
    </row>
    <row r="14" spans="2:9" ht="21" customHeight="1" x14ac:dyDescent="0.3">
      <c r="B14" s="230" t="s">
        <v>7</v>
      </c>
      <c r="C14" s="174">
        <f>Irrigation!B14</f>
        <v>66246.200000000012</v>
      </c>
      <c r="D14" s="12"/>
      <c r="E14" s="12"/>
      <c r="F14" s="12"/>
    </row>
    <row r="15" spans="2:9" ht="21" customHeight="1" x14ac:dyDescent="0.3">
      <c r="B15" s="168" t="s">
        <v>8</v>
      </c>
      <c r="C15" s="174">
        <v>12000</v>
      </c>
      <c r="D15" s="12"/>
      <c r="E15" s="12"/>
      <c r="F15" s="12"/>
    </row>
    <row r="16" spans="2:9" ht="21" customHeight="1" x14ac:dyDescent="0.3">
      <c r="B16" s="168" t="s">
        <v>9</v>
      </c>
      <c r="C16" s="174">
        <v>4620</v>
      </c>
    </row>
    <row r="17" spans="2:7" ht="21" customHeight="1" x14ac:dyDescent="0.3">
      <c r="B17" s="230" t="s">
        <v>162</v>
      </c>
      <c r="C17" s="174">
        <v>49837.67</v>
      </c>
    </row>
    <row r="18" spans="2:7" ht="21" customHeight="1" x14ac:dyDescent="0.3">
      <c r="B18" s="230" t="s">
        <v>10</v>
      </c>
      <c r="C18" s="174">
        <v>52745</v>
      </c>
    </row>
    <row r="19" spans="2:7" ht="21" customHeight="1" x14ac:dyDescent="0.3">
      <c r="B19" s="230" t="s">
        <v>11</v>
      </c>
      <c r="C19" s="202">
        <v>117015.14</v>
      </c>
    </row>
    <row r="20" spans="2:7" ht="21" customHeight="1" x14ac:dyDescent="0.3">
      <c r="B20" s="317" t="s">
        <v>177</v>
      </c>
      <c r="C20" s="202">
        <v>850</v>
      </c>
    </row>
    <row r="21" spans="2:7" ht="21" customHeight="1" x14ac:dyDescent="0.3">
      <c r="B21" s="168" t="s">
        <v>12</v>
      </c>
      <c r="C21" s="174">
        <v>1500</v>
      </c>
    </row>
    <row r="22" spans="2:7" ht="21" customHeight="1" x14ac:dyDescent="0.3">
      <c r="B22" s="230" t="s">
        <v>13</v>
      </c>
      <c r="C22" s="174">
        <f>'Pool, Prof, HOA, Lights'!B33:C33</f>
        <v>24879.599999999999</v>
      </c>
    </row>
    <row r="23" spans="2:7" ht="21" customHeight="1" x14ac:dyDescent="0.3">
      <c r="B23" s="230" t="s">
        <v>160</v>
      </c>
      <c r="C23" s="174">
        <v>2487.42</v>
      </c>
    </row>
    <row r="24" spans="2:7" ht="21" customHeight="1" x14ac:dyDescent="0.3">
      <c r="B24" s="317" t="s">
        <v>176</v>
      </c>
      <c r="C24" s="174">
        <v>14000</v>
      </c>
    </row>
    <row r="25" spans="2:7" ht="21" customHeight="1" x14ac:dyDescent="0.3">
      <c r="B25" s="78" t="s">
        <v>14</v>
      </c>
      <c r="C25" s="201">
        <v>78505.69</v>
      </c>
    </row>
    <row r="26" spans="2:7" ht="21" customHeight="1" thickBot="1" x14ac:dyDescent="0.3">
      <c r="B26" s="172" t="s">
        <v>15</v>
      </c>
      <c r="C26" s="173">
        <f>SUM(C11:C25)</f>
        <v>1655045.3099999998</v>
      </c>
    </row>
    <row r="27" spans="2:7" ht="21" customHeight="1" thickBot="1" x14ac:dyDescent="0.3">
      <c r="B27" s="7"/>
      <c r="C27" s="165"/>
      <c r="E27" s="12"/>
      <c r="F27" s="12"/>
      <c r="G27" s="12"/>
    </row>
    <row r="28" spans="2:7" ht="34.5" customHeight="1" x14ac:dyDescent="0.25">
      <c r="B28" s="175" t="s">
        <v>74</v>
      </c>
      <c r="C28" s="176">
        <v>894.9</v>
      </c>
      <c r="D28" s="15"/>
      <c r="E28" s="16"/>
      <c r="F28" s="16"/>
      <c r="G28" s="12"/>
    </row>
    <row r="29" spans="2:7" ht="23.25" customHeight="1" x14ac:dyDescent="0.25">
      <c r="B29" s="177" t="s">
        <v>99</v>
      </c>
      <c r="C29" s="178">
        <f>C5</f>
        <v>1516660.02</v>
      </c>
      <c r="D29" s="15"/>
      <c r="E29" s="17"/>
      <c r="F29" s="17"/>
      <c r="G29" s="12"/>
    </row>
    <row r="30" spans="2:7" ht="21" customHeight="1" thickBot="1" x14ac:dyDescent="0.3">
      <c r="B30" s="179" t="s">
        <v>75</v>
      </c>
      <c r="C30" s="180">
        <f>C29/C28</f>
        <v>1694.7815621857192</v>
      </c>
      <c r="D30" s="15"/>
      <c r="E30" s="17"/>
      <c r="F30" s="17"/>
      <c r="G30" s="12"/>
    </row>
    <row r="31" spans="2:7" ht="28.5" customHeight="1" x14ac:dyDescent="0.25">
      <c r="B31" s="181" t="s">
        <v>76</v>
      </c>
      <c r="C31" s="182">
        <f>C30*0.91</f>
        <v>1542.2512215890044</v>
      </c>
      <c r="D31" s="15"/>
      <c r="E31" s="17"/>
      <c r="F31" s="17"/>
      <c r="G31" s="12"/>
    </row>
    <row r="32" spans="2:7" ht="24" customHeight="1" x14ac:dyDescent="0.25">
      <c r="B32" s="183" t="s">
        <v>77</v>
      </c>
      <c r="C32" s="178">
        <f>C30*1</f>
        <v>1694.7815621857192</v>
      </c>
      <c r="D32" s="18"/>
      <c r="E32" s="17"/>
      <c r="F32" s="17"/>
      <c r="G32" s="12"/>
    </row>
    <row r="33" spans="2:7" ht="24" customHeight="1" thickBot="1" x14ac:dyDescent="0.3">
      <c r="B33" s="184" t="s">
        <v>78</v>
      </c>
      <c r="C33" s="180">
        <f>C30*1.08</f>
        <v>1830.3640871605769</v>
      </c>
      <c r="D33" s="18"/>
      <c r="E33" s="17"/>
      <c r="F33" s="17"/>
      <c r="G33" s="12"/>
    </row>
    <row r="34" spans="2:7" ht="21" customHeight="1" x14ac:dyDescent="0.25">
      <c r="B34" s="5"/>
      <c r="C34" s="5"/>
      <c r="E34" s="12"/>
      <c r="F34" s="12"/>
      <c r="G34" s="12"/>
    </row>
  </sheetData>
  <sheetProtection algorithmName="SHA-512" hashValue="1I1zEMiWhhlT2pr35zb0Xhme7UxEm3s5JXN0N9HlkV1PH73cbRleyWHnw6V7XIGa7WigzQPoEw+ykyaQIH/qlw==" saltValue="jrFAozL+pn86WENKY6VO6g==" spinCount="100000" sheet="1" objects="1" scenarios="1" selectLockedCells="1" selectUnlockedCells="1"/>
  <mergeCells count="3">
    <mergeCell ref="B3:C3"/>
    <mergeCell ref="B1:C1"/>
    <mergeCell ref="B10:C10"/>
  </mergeCells>
  <hyperlinks>
    <hyperlink ref="B12" location="'Common Area Exp'!A1" display="Common Area Expenses"/>
    <hyperlink ref="B14" location="Irrigation!A1" display="Irrigation"/>
    <hyperlink ref="B5" location="Dues!A1" display="Legacy Homeowner Dues"/>
    <hyperlink ref="B17" location="'Pool, Prof, HOA, Lights'!A1" display="Pool Expenses"/>
    <hyperlink ref="B18" location="'Pool, Prof, HOA, Lights'!A1" display="Professional Fees"/>
    <hyperlink ref="B19" location="'Pool, Prof, HOA, Lights'!A1" display="Property Management Fees"/>
    <hyperlink ref="B22" location="'Pool, Prof, HOA, Lights'!A1" display="Street Lights"/>
    <hyperlink ref="B23" location="' MS #2 Budget'!A1" display="MS #2 6% General Fund"/>
    <hyperlink ref="B4" location="Cash!A1" display="Positive or negative from previous year"/>
  </hyperlinks>
  <pageMargins left="0.7" right="0.7" top="5.2083333333333336E-2" bottom="6.25E-2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workbookViewId="0"/>
  </sheetViews>
  <sheetFormatPr defaultColWidth="9.140625" defaultRowHeight="18.75" x14ac:dyDescent="0.3"/>
  <cols>
    <col min="1" max="1" width="31.28515625" style="163" customWidth="1"/>
    <col min="2" max="2" width="19.85546875" style="91" customWidth="1"/>
    <col min="3" max="3" width="9.140625" style="91"/>
    <col min="4" max="4" width="19.42578125" style="91" customWidth="1"/>
    <col min="5" max="5" width="9.140625" style="91"/>
    <col min="6" max="6" width="13" style="91" customWidth="1"/>
    <col min="7" max="16384" width="9.140625" style="91"/>
  </cols>
  <sheetData>
    <row r="1" spans="1:4" ht="22.5" x14ac:dyDescent="0.3">
      <c r="A1" s="243" t="s">
        <v>79</v>
      </c>
      <c r="B1" s="241"/>
    </row>
    <row r="2" spans="1:4" x14ac:dyDescent="0.3">
      <c r="A2" s="242"/>
      <c r="B2" s="24"/>
    </row>
    <row r="3" spans="1:4" s="5" customFormat="1" ht="27.75" customHeight="1" x14ac:dyDescent="0.25">
      <c r="A3" s="164" t="s">
        <v>150</v>
      </c>
      <c r="B3" s="165">
        <v>326612.17</v>
      </c>
      <c r="D3" s="14"/>
    </row>
    <row r="4" spans="1:4" s="5" customFormat="1" ht="27.75" customHeight="1" x14ac:dyDescent="0.25">
      <c r="A4" s="164" t="s">
        <v>151</v>
      </c>
      <c r="B4" s="165">
        <v>0</v>
      </c>
      <c r="D4" s="14"/>
    </row>
    <row r="5" spans="1:4" s="5" customFormat="1" ht="27.75" customHeight="1" x14ac:dyDescent="0.25">
      <c r="A5" s="22" t="s">
        <v>80</v>
      </c>
      <c r="B5" s="14">
        <v>0</v>
      </c>
      <c r="D5" s="14"/>
    </row>
    <row r="6" spans="1:4" s="5" customFormat="1" ht="27.75" customHeight="1" x14ac:dyDescent="0.25">
      <c r="A6" s="22" t="s">
        <v>152</v>
      </c>
      <c r="B6" s="14">
        <v>-1751</v>
      </c>
      <c r="D6" s="14"/>
    </row>
    <row r="7" spans="1:4" s="5" customFormat="1" ht="27.75" customHeight="1" x14ac:dyDescent="0.25">
      <c r="A7" s="22" t="s">
        <v>82</v>
      </c>
      <c r="B7" s="14">
        <v>-175000</v>
      </c>
      <c r="D7" s="14"/>
    </row>
    <row r="8" spans="1:4" s="5" customFormat="1" ht="27.75" customHeight="1" x14ac:dyDescent="0.25">
      <c r="A8" s="22" t="s">
        <v>171</v>
      </c>
      <c r="B8" s="14">
        <v>-32585.33</v>
      </c>
      <c r="D8" s="14"/>
    </row>
    <row r="9" spans="1:4" s="5" customFormat="1" ht="27.75" customHeight="1" x14ac:dyDescent="0.25">
      <c r="A9" s="22" t="s">
        <v>81</v>
      </c>
      <c r="B9" s="14">
        <v>-9600</v>
      </c>
      <c r="D9" s="14"/>
    </row>
    <row r="10" spans="1:4" s="5" customFormat="1" ht="33" customHeight="1" x14ac:dyDescent="0.25">
      <c r="A10" s="22" t="s">
        <v>170</v>
      </c>
      <c r="B10" s="14">
        <v>19601.900000000001</v>
      </c>
      <c r="D10" s="14"/>
    </row>
    <row r="11" spans="1:4" s="5" customFormat="1" ht="33" customHeight="1" x14ac:dyDescent="0.25">
      <c r="A11" s="232" t="s">
        <v>141</v>
      </c>
      <c r="B11" s="233">
        <f>SUM(B3:B10)</f>
        <v>127277.73999999999</v>
      </c>
      <c r="D11" s="14"/>
    </row>
    <row r="12" spans="1:4" s="5" customFormat="1" ht="33" customHeight="1" x14ac:dyDescent="0.25">
      <c r="D12" s="14"/>
    </row>
    <row r="13" spans="1:4" s="5" customFormat="1" ht="33" customHeight="1" x14ac:dyDescent="0.25">
      <c r="A13" s="22" t="s">
        <v>149</v>
      </c>
      <c r="B13" s="14">
        <v>-4588.45</v>
      </c>
      <c r="D13" s="14"/>
    </row>
    <row r="14" spans="1:4" s="5" customFormat="1" ht="36" customHeight="1" x14ac:dyDescent="0.3">
      <c r="A14" s="22" t="s">
        <v>164</v>
      </c>
      <c r="B14" s="14">
        <v>-15500</v>
      </c>
      <c r="C14" s="167"/>
      <c r="D14" s="167"/>
    </row>
    <row r="15" spans="1:4" x14ac:dyDescent="0.3">
      <c r="A15" s="22" t="s">
        <v>169</v>
      </c>
      <c r="B15" s="14">
        <v>-7000</v>
      </c>
    </row>
    <row r="16" spans="1:4" x14ac:dyDescent="0.3">
      <c r="A16" s="22"/>
    </row>
    <row r="18" spans="1:2" ht="37.5" x14ac:dyDescent="0.3">
      <c r="A18" s="166" t="s">
        <v>172</v>
      </c>
      <c r="B18" s="167">
        <f>B11+B13+B14+B15</f>
        <v>100189.29</v>
      </c>
    </row>
  </sheetData>
  <sheetProtection algorithmName="SHA-512" hashValue="Ej/vpxE2c7rN+0WEr/35zXIQW1R+Prtfnihib8ypVekachVh0ZYqgEnce+yUjEiUVGNQ8tDmTMAtHbQueVoTfA==" saltValue="dXLNlEG61d8v1CvrFwBmVw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workbookViewId="0"/>
  </sheetViews>
  <sheetFormatPr defaultColWidth="9.140625" defaultRowHeight="18.75" x14ac:dyDescent="0.3"/>
  <cols>
    <col min="1" max="1" width="51.7109375" style="91" customWidth="1"/>
    <col min="2" max="2" width="1.7109375" style="91" customWidth="1"/>
    <col min="3" max="3" width="19.42578125" style="91" customWidth="1"/>
    <col min="4" max="4" width="5.7109375" style="91" customWidth="1"/>
    <col min="5" max="5" width="12.7109375" style="91" customWidth="1"/>
    <col min="6" max="6" width="5" style="91" customWidth="1"/>
    <col min="7" max="7" width="16.85546875" style="91" customWidth="1"/>
    <col min="8" max="8" width="4.28515625" style="91" customWidth="1"/>
    <col min="9" max="9" width="18.140625" style="91" customWidth="1"/>
    <col min="10" max="10" width="5.5703125" style="91" customWidth="1"/>
    <col min="11" max="11" width="19.28515625" style="91" customWidth="1"/>
    <col min="12" max="16384" width="9.140625" style="91"/>
  </cols>
  <sheetData>
    <row r="1" spans="1:11" ht="22.5" x14ac:dyDescent="0.3">
      <c r="A1" s="229" t="s">
        <v>173</v>
      </c>
    </row>
    <row r="3" spans="1:11" x14ac:dyDescent="0.3">
      <c r="A3" s="91" t="s">
        <v>174</v>
      </c>
      <c r="C3" s="150">
        <f>'2021 HOA General'!C26</f>
        <v>1655045.3099999998</v>
      </c>
    </row>
    <row r="4" spans="1:11" x14ac:dyDescent="0.3">
      <c r="A4" s="91" t="s">
        <v>83</v>
      </c>
      <c r="C4" s="150">
        <f>-'2021 HOA General'!C4</f>
        <v>-100189.29</v>
      </c>
    </row>
    <row r="5" spans="1:11" x14ac:dyDescent="0.3">
      <c r="A5" s="91" t="s">
        <v>166</v>
      </c>
      <c r="C5" s="150">
        <v>-20700</v>
      </c>
    </row>
    <row r="6" spans="1:11" x14ac:dyDescent="0.3">
      <c r="A6" s="91" t="s">
        <v>167</v>
      </c>
      <c r="C6" s="150">
        <v>-17496</v>
      </c>
    </row>
    <row r="7" spans="1:11" x14ac:dyDescent="0.3">
      <c r="A7" s="151" t="s">
        <v>84</v>
      </c>
      <c r="B7" s="151"/>
      <c r="C7" s="152">
        <f>SUM(C3:C6)</f>
        <v>1516660.0199999998</v>
      </c>
    </row>
    <row r="8" spans="1:11" x14ac:dyDescent="0.3">
      <c r="A8" s="151"/>
      <c r="B8" s="151"/>
      <c r="C8" s="152"/>
    </row>
    <row r="9" spans="1:11" x14ac:dyDescent="0.3">
      <c r="A9" s="151"/>
      <c r="B9" s="151"/>
      <c r="C9" s="152"/>
    </row>
    <row r="10" spans="1:11" ht="21" thickBot="1" x14ac:dyDescent="0.35">
      <c r="A10" s="307" t="s">
        <v>100</v>
      </c>
      <c r="D10" s="5"/>
    </row>
    <row r="11" spans="1:11" ht="38.25" customHeight="1" x14ac:dyDescent="0.3">
      <c r="A11" s="308" t="s">
        <v>97</v>
      </c>
      <c r="B11" s="153"/>
      <c r="C11" s="153" t="s">
        <v>88</v>
      </c>
      <c r="D11" s="154" t="s">
        <v>91</v>
      </c>
      <c r="E11" s="153" t="s">
        <v>90</v>
      </c>
      <c r="F11" s="154" t="s">
        <v>94</v>
      </c>
      <c r="G11" s="155" t="s">
        <v>98</v>
      </c>
      <c r="H11" s="154" t="s">
        <v>92</v>
      </c>
      <c r="I11" s="153" t="s">
        <v>93</v>
      </c>
      <c r="J11" s="154" t="s">
        <v>94</v>
      </c>
      <c r="K11" s="156" t="s">
        <v>96</v>
      </c>
    </row>
    <row r="12" spans="1:11" x14ac:dyDescent="0.3">
      <c r="A12" s="309" t="s">
        <v>86</v>
      </c>
      <c r="B12" s="157"/>
      <c r="C12" s="157">
        <v>0.91</v>
      </c>
      <c r="D12" s="158" t="s">
        <v>89</v>
      </c>
      <c r="E12" s="157">
        <v>894.9</v>
      </c>
      <c r="F12" s="158" t="s">
        <v>95</v>
      </c>
      <c r="G12" s="157">
        <f>C12/E12</f>
        <v>1.0168733936752709E-3</v>
      </c>
      <c r="H12" s="158" t="s">
        <v>73</v>
      </c>
      <c r="I12" s="185">
        <f>C7</f>
        <v>1516660.0199999998</v>
      </c>
      <c r="J12" s="158" t="s">
        <v>95</v>
      </c>
      <c r="K12" s="159">
        <f>G12*I12</f>
        <v>1542.251221589004</v>
      </c>
    </row>
    <row r="13" spans="1:11" x14ac:dyDescent="0.3">
      <c r="A13" s="309" t="s">
        <v>85</v>
      </c>
      <c r="B13" s="157"/>
      <c r="C13" s="157">
        <v>1</v>
      </c>
      <c r="D13" s="158" t="s">
        <v>89</v>
      </c>
      <c r="E13" s="157">
        <v>894.9</v>
      </c>
      <c r="F13" s="158" t="s">
        <v>95</v>
      </c>
      <c r="G13" s="157">
        <f t="shared" ref="G13:G14" si="0">C13/E13</f>
        <v>1.117443289753045E-3</v>
      </c>
      <c r="H13" s="158" t="s">
        <v>73</v>
      </c>
      <c r="I13" s="185">
        <f>C7</f>
        <v>1516660.0199999998</v>
      </c>
      <c r="J13" s="158" t="s">
        <v>95</v>
      </c>
      <c r="K13" s="159">
        <f t="shared" ref="K13:K14" si="1">G13*I13</f>
        <v>1694.7815621857187</v>
      </c>
    </row>
    <row r="14" spans="1:11" ht="19.5" thickBot="1" x14ac:dyDescent="0.35">
      <c r="A14" s="310" t="s">
        <v>87</v>
      </c>
      <c r="B14" s="160"/>
      <c r="C14" s="160">
        <v>1.08</v>
      </c>
      <c r="D14" s="161" t="s">
        <v>89</v>
      </c>
      <c r="E14" s="160">
        <v>894.9</v>
      </c>
      <c r="F14" s="161" t="s">
        <v>95</v>
      </c>
      <c r="G14" s="160">
        <f t="shared" si="0"/>
        <v>1.2068387529332886E-3</v>
      </c>
      <c r="H14" s="161" t="s">
        <v>73</v>
      </c>
      <c r="I14" s="186">
        <f>C7</f>
        <v>1516660.0199999998</v>
      </c>
      <c r="J14" s="161" t="s">
        <v>95</v>
      </c>
      <c r="K14" s="162">
        <f t="shared" si="1"/>
        <v>1830.3640871605764</v>
      </c>
    </row>
  </sheetData>
  <sheetProtection algorithmName="SHA-512" hashValue="XnQoK7XjzbVJ6XKtl95/9b8C6b/MtBpXYVkuMmU/ecO+eEx3NfWuvG6cBRmsdSer1odypMLFcViNVRK9FxUpKw==" saltValue="BEfYdfzpgk01Jzh//5QcPQ==" spinCount="100000" sheet="1" objects="1" scenarios="1" selectLockedCells="1" selectUnlockedCells="1"/>
  <pageMargins left="0.7" right="0.7" top="0.75" bottom="0.75" header="0.3" footer="0.3"/>
  <pageSetup scale="6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workbookViewId="0">
      <selection sqref="A1:C1"/>
    </sheetView>
  </sheetViews>
  <sheetFormatPr defaultColWidth="9.140625" defaultRowHeight="15" x14ac:dyDescent="0.25"/>
  <cols>
    <col min="1" max="1" width="50.42578125" style="246" customWidth="1"/>
    <col min="2" max="2" width="14" style="246" bestFit="1" customWidth="1"/>
    <col min="3" max="3" width="16.7109375" style="246" customWidth="1"/>
    <col min="4" max="4" width="3.85546875" style="246" customWidth="1"/>
    <col min="5" max="5" width="9.85546875" style="148" customWidth="1"/>
    <col min="6" max="6" width="9.5703125" style="148" bestFit="1" customWidth="1"/>
    <col min="7" max="7" width="10.7109375" style="148" customWidth="1"/>
    <col min="8" max="8" width="11.42578125" style="148" bestFit="1" customWidth="1"/>
    <col min="9" max="14" width="10.42578125" style="148" bestFit="1" customWidth="1"/>
    <col min="15" max="16" width="9.5703125" style="148" bestFit="1" customWidth="1"/>
    <col min="17" max="17" width="17.42578125" style="245" customWidth="1"/>
    <col min="18" max="16384" width="9.140625" style="246"/>
  </cols>
  <sheetData>
    <row r="1" spans="1:17" ht="27.75" x14ac:dyDescent="0.4">
      <c r="A1" s="329" t="s">
        <v>46</v>
      </c>
      <c r="B1" s="329"/>
      <c r="C1" s="329"/>
      <c r="D1" s="244"/>
    </row>
    <row r="2" spans="1:17" ht="15.75" x14ac:dyDescent="0.25">
      <c r="B2" s="36"/>
      <c r="C2" s="36"/>
      <c r="D2" s="36"/>
      <c r="E2" s="324" t="s">
        <v>44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6"/>
    </row>
    <row r="3" spans="1:17" ht="20.25" x14ac:dyDescent="0.3">
      <c r="A3" s="7"/>
      <c r="B3" s="327" t="s">
        <v>43</v>
      </c>
      <c r="C3" s="328"/>
      <c r="D3" s="247"/>
      <c r="E3" s="248" t="s">
        <v>24</v>
      </c>
      <c r="F3" s="248" t="s">
        <v>25</v>
      </c>
      <c r="G3" s="248" t="s">
        <v>26</v>
      </c>
      <c r="H3" s="248" t="s">
        <v>27</v>
      </c>
      <c r="I3" s="248" t="s">
        <v>28</v>
      </c>
      <c r="J3" s="248" t="s">
        <v>29</v>
      </c>
      <c r="K3" s="248" t="s">
        <v>30</v>
      </c>
      <c r="L3" s="248" t="s">
        <v>31</v>
      </c>
      <c r="M3" s="248" t="s">
        <v>32</v>
      </c>
      <c r="N3" s="248" t="s">
        <v>33</v>
      </c>
      <c r="O3" s="248" t="s">
        <v>34</v>
      </c>
      <c r="P3" s="248" t="s">
        <v>35</v>
      </c>
      <c r="Q3" s="193" t="s">
        <v>40</v>
      </c>
    </row>
    <row r="4" spans="1:17" s="7" customFormat="1" ht="15.75" x14ac:dyDescent="0.25">
      <c r="A4" s="249" t="s">
        <v>23</v>
      </c>
      <c r="B4" s="250"/>
      <c r="C4" s="251">
        <f>SUM(B5:B7)</f>
        <v>163500</v>
      </c>
      <c r="D4" s="252"/>
      <c r="E4" s="253"/>
      <c r="F4" s="254"/>
      <c r="G4" s="255">
        <f>$C4/8</f>
        <v>20437.5</v>
      </c>
      <c r="H4" s="255">
        <f t="shared" ref="H4:N4" si="0">$C4/8</f>
        <v>20437.5</v>
      </c>
      <c r="I4" s="255">
        <f t="shared" si="0"/>
        <v>20437.5</v>
      </c>
      <c r="J4" s="255">
        <f t="shared" si="0"/>
        <v>20437.5</v>
      </c>
      <c r="K4" s="255">
        <f t="shared" si="0"/>
        <v>20437.5</v>
      </c>
      <c r="L4" s="255">
        <f t="shared" si="0"/>
        <v>20437.5</v>
      </c>
      <c r="M4" s="255">
        <f t="shared" si="0"/>
        <v>20437.5</v>
      </c>
      <c r="N4" s="255">
        <f t="shared" si="0"/>
        <v>20437.5</v>
      </c>
      <c r="O4" s="254"/>
      <c r="P4" s="256"/>
      <c r="Q4" s="257">
        <f>SUM(E4:P4)</f>
        <v>163500</v>
      </c>
    </row>
    <row r="5" spans="1:17" ht="18" customHeight="1" x14ac:dyDescent="0.25">
      <c r="A5" s="258" t="s">
        <v>22</v>
      </c>
      <c r="B5" s="259">
        <v>106500</v>
      </c>
      <c r="C5" s="43"/>
      <c r="D5" s="38"/>
      <c r="E5" s="260"/>
      <c r="F5" s="261"/>
      <c r="G5" s="143">
        <f>B5/8</f>
        <v>13312.5</v>
      </c>
      <c r="H5" s="143">
        <f>B5/8</f>
        <v>13312.5</v>
      </c>
      <c r="I5" s="143">
        <f>B5/8</f>
        <v>13312.5</v>
      </c>
      <c r="J5" s="143">
        <f>B5/8</f>
        <v>13312.5</v>
      </c>
      <c r="K5" s="143">
        <f>B5/8</f>
        <v>13312.5</v>
      </c>
      <c r="L5" s="143">
        <f>B5/8</f>
        <v>13312.5</v>
      </c>
      <c r="M5" s="143">
        <f>B5/8</f>
        <v>13312.5</v>
      </c>
      <c r="N5" s="143">
        <f>B5/8</f>
        <v>13312.5</v>
      </c>
      <c r="O5" s="261"/>
      <c r="P5" s="262"/>
      <c r="Q5" s="263">
        <f>SUM(G5:N5)</f>
        <v>106500</v>
      </c>
    </row>
    <row r="6" spans="1:17" ht="30" x14ac:dyDescent="0.25">
      <c r="A6" s="258" t="s">
        <v>153</v>
      </c>
      <c r="B6" s="259">
        <f>37500+15000</f>
        <v>52500</v>
      </c>
      <c r="C6" s="43"/>
      <c r="D6" s="38"/>
      <c r="E6" s="260"/>
      <c r="F6" s="261"/>
      <c r="G6" s="261">
        <f t="shared" ref="G6:N6" si="1">52500/8</f>
        <v>6562.5</v>
      </c>
      <c r="H6" s="261">
        <f t="shared" si="1"/>
        <v>6562.5</v>
      </c>
      <c r="I6" s="261">
        <f t="shared" si="1"/>
        <v>6562.5</v>
      </c>
      <c r="J6" s="261">
        <f t="shared" si="1"/>
        <v>6562.5</v>
      </c>
      <c r="K6" s="261">
        <f t="shared" si="1"/>
        <v>6562.5</v>
      </c>
      <c r="L6" s="261">
        <f t="shared" si="1"/>
        <v>6562.5</v>
      </c>
      <c r="M6" s="261">
        <f t="shared" si="1"/>
        <v>6562.5</v>
      </c>
      <c r="N6" s="261">
        <f t="shared" si="1"/>
        <v>6562.5</v>
      </c>
      <c r="O6" s="261"/>
      <c r="P6" s="262"/>
      <c r="Q6" s="263">
        <f t="shared" ref="Q6:Q7" si="2">SUM(G6:N6)</f>
        <v>52500</v>
      </c>
    </row>
    <row r="7" spans="1:17" x14ac:dyDescent="0.25">
      <c r="A7" s="264" t="s">
        <v>21</v>
      </c>
      <c r="B7" s="265">
        <v>4500</v>
      </c>
      <c r="C7" s="35"/>
      <c r="D7" s="38"/>
      <c r="E7" s="266"/>
      <c r="F7" s="267"/>
      <c r="G7" s="267">
        <f t="shared" ref="G7:N7" si="3">4500/8</f>
        <v>562.5</v>
      </c>
      <c r="H7" s="267">
        <f t="shared" si="3"/>
        <v>562.5</v>
      </c>
      <c r="I7" s="267">
        <f t="shared" si="3"/>
        <v>562.5</v>
      </c>
      <c r="J7" s="267">
        <f t="shared" si="3"/>
        <v>562.5</v>
      </c>
      <c r="K7" s="267">
        <f t="shared" si="3"/>
        <v>562.5</v>
      </c>
      <c r="L7" s="267">
        <f t="shared" si="3"/>
        <v>562.5</v>
      </c>
      <c r="M7" s="267">
        <f t="shared" si="3"/>
        <v>562.5</v>
      </c>
      <c r="N7" s="267">
        <f t="shared" si="3"/>
        <v>562.5</v>
      </c>
      <c r="O7" s="267"/>
      <c r="P7" s="268"/>
      <c r="Q7" s="263">
        <f t="shared" si="2"/>
        <v>4500</v>
      </c>
    </row>
    <row r="8" spans="1:17" x14ac:dyDescent="0.25">
      <c r="A8" s="52"/>
      <c r="B8" s="38"/>
      <c r="C8" s="38"/>
      <c r="D8" s="38"/>
      <c r="E8" s="261"/>
    </row>
    <row r="9" spans="1:17" s="7" customFormat="1" ht="15.75" x14ac:dyDescent="0.25">
      <c r="A9" s="269" t="s">
        <v>16</v>
      </c>
      <c r="B9" s="270"/>
      <c r="C9" s="251">
        <f>SUM(B10:B18)</f>
        <v>918734.98999999987</v>
      </c>
      <c r="D9" s="252"/>
      <c r="E9" s="271">
        <f t="shared" ref="E9:P9" si="4">SUM(E10:E18)</f>
        <v>56548.08</v>
      </c>
      <c r="F9" s="272">
        <f t="shared" si="4"/>
        <v>50272.4</v>
      </c>
      <c r="G9" s="272">
        <f t="shared" si="4"/>
        <v>96033.959999999992</v>
      </c>
      <c r="H9" s="272">
        <f t="shared" si="4"/>
        <v>68643.759999999995</v>
      </c>
      <c r="I9" s="272">
        <f t="shared" si="4"/>
        <v>253206.46999999997</v>
      </c>
      <c r="J9" s="272">
        <f t="shared" si="4"/>
        <v>58922.759999999995</v>
      </c>
      <c r="K9" s="272">
        <f t="shared" si="4"/>
        <v>58922.759999999995</v>
      </c>
      <c r="L9" s="272">
        <f t="shared" si="4"/>
        <v>58922.759999999995</v>
      </c>
      <c r="M9" s="272">
        <f t="shared" si="4"/>
        <v>58922.759999999995</v>
      </c>
      <c r="N9" s="272">
        <f t="shared" si="4"/>
        <v>58922.759999999995</v>
      </c>
      <c r="O9" s="272">
        <f t="shared" si="4"/>
        <v>58922.759999999995</v>
      </c>
      <c r="P9" s="273">
        <f t="shared" si="4"/>
        <v>40493.759999999995</v>
      </c>
      <c r="Q9" s="257">
        <f>SUM(E9:P9)</f>
        <v>918734.99</v>
      </c>
    </row>
    <row r="10" spans="1:17" s="7" customFormat="1" ht="15.75" x14ac:dyDescent="0.25">
      <c r="A10" s="274" t="s">
        <v>178</v>
      </c>
      <c r="B10" s="259">
        <v>411745.8</v>
      </c>
      <c r="C10" s="275"/>
      <c r="D10" s="6"/>
      <c r="E10" s="142">
        <v>37000</v>
      </c>
      <c r="F10" s="143">
        <v>37000</v>
      </c>
      <c r="G10" s="143">
        <v>33774.58</v>
      </c>
      <c r="H10" s="143">
        <v>33774.58</v>
      </c>
      <c r="I10" s="143">
        <v>33774.58</v>
      </c>
      <c r="J10" s="143">
        <v>33774.58</v>
      </c>
      <c r="K10" s="143">
        <v>33774.58</v>
      </c>
      <c r="L10" s="143">
        <v>33774.58</v>
      </c>
      <c r="M10" s="143">
        <v>33774.58</v>
      </c>
      <c r="N10" s="143">
        <v>33774.58</v>
      </c>
      <c r="O10" s="143">
        <v>33774.58</v>
      </c>
      <c r="P10" s="143">
        <v>33774.58</v>
      </c>
      <c r="Q10" s="263">
        <f>SUM(E10:P10)</f>
        <v>411745.8000000001</v>
      </c>
    </row>
    <row r="11" spans="1:17" s="7" customFormat="1" ht="15.75" customHeight="1" x14ac:dyDescent="0.25">
      <c r="A11" s="276" t="s">
        <v>179</v>
      </c>
      <c r="B11" s="259">
        <v>11550</v>
      </c>
      <c r="C11" s="275"/>
      <c r="D11" s="6"/>
      <c r="E11" s="142"/>
      <c r="F11" s="143"/>
      <c r="G11" s="143">
        <f>B11/10</f>
        <v>1155</v>
      </c>
      <c r="H11" s="143">
        <f>B11/10</f>
        <v>1155</v>
      </c>
      <c r="I11" s="143">
        <f>B11/10</f>
        <v>1155</v>
      </c>
      <c r="J11" s="143">
        <f>B11/10</f>
        <v>1155</v>
      </c>
      <c r="K11" s="143">
        <f>B11/10</f>
        <v>1155</v>
      </c>
      <c r="L11" s="143">
        <f>B11/10</f>
        <v>1155</v>
      </c>
      <c r="M11" s="143">
        <f>B11/10</f>
        <v>1155</v>
      </c>
      <c r="N11" s="143">
        <f>B11/10</f>
        <v>1155</v>
      </c>
      <c r="O11" s="143">
        <f>B11/10</f>
        <v>1155</v>
      </c>
      <c r="P11" s="144">
        <f>B11/10</f>
        <v>1155</v>
      </c>
      <c r="Q11" s="263">
        <f t="shared" ref="Q11:Q18" si="5">SUM(E11:P11)</f>
        <v>11550</v>
      </c>
    </row>
    <row r="12" spans="1:17" s="7" customFormat="1" ht="15.75" x14ac:dyDescent="0.25">
      <c r="A12" s="276" t="s">
        <v>181</v>
      </c>
      <c r="B12" s="259">
        <f>Q12</f>
        <v>27265.06</v>
      </c>
      <c r="C12" s="275"/>
      <c r="D12" s="6"/>
      <c r="E12" s="142"/>
      <c r="F12" s="143"/>
      <c r="G12" s="143">
        <v>1000</v>
      </c>
      <c r="H12" s="143">
        <v>2918.34</v>
      </c>
      <c r="I12" s="143">
        <v>2918.34</v>
      </c>
      <c r="J12" s="143">
        <v>2918.34</v>
      </c>
      <c r="K12" s="143">
        <v>2918.34</v>
      </c>
      <c r="L12" s="143">
        <v>2918.34</v>
      </c>
      <c r="M12" s="143">
        <v>2918.34</v>
      </c>
      <c r="N12" s="143">
        <v>2918.34</v>
      </c>
      <c r="O12" s="143">
        <v>2918.34</v>
      </c>
      <c r="P12" s="144">
        <v>2918.34</v>
      </c>
      <c r="Q12" s="263">
        <f t="shared" si="5"/>
        <v>27265.06</v>
      </c>
    </row>
    <row r="13" spans="1:17" s="7" customFormat="1" ht="15.75" x14ac:dyDescent="0.25">
      <c r="A13" s="276" t="s">
        <v>180</v>
      </c>
      <c r="B13" s="259"/>
      <c r="C13" s="275"/>
      <c r="D13" s="6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4"/>
      <c r="Q13" s="263" t="s">
        <v>184</v>
      </c>
    </row>
    <row r="14" spans="1:17" s="7" customFormat="1" ht="15.75" x14ac:dyDescent="0.25">
      <c r="A14" s="276" t="s">
        <v>182</v>
      </c>
      <c r="B14" s="259">
        <f t="shared" ref="B14" si="6">Q14</f>
        <v>24812.560000000001</v>
      </c>
      <c r="C14" s="275"/>
      <c r="D14" s="6"/>
      <c r="E14" s="142"/>
      <c r="F14" s="143"/>
      <c r="G14" s="143">
        <v>1000</v>
      </c>
      <c r="H14" s="143">
        <v>2645.84</v>
      </c>
      <c r="I14" s="143">
        <v>2645.84</v>
      </c>
      <c r="J14" s="143">
        <v>2645.84</v>
      </c>
      <c r="K14" s="143">
        <v>2645.84</v>
      </c>
      <c r="L14" s="143">
        <v>2645.84</v>
      </c>
      <c r="M14" s="143">
        <v>2645.84</v>
      </c>
      <c r="N14" s="143">
        <v>2645.84</v>
      </c>
      <c r="O14" s="143">
        <v>2645.84</v>
      </c>
      <c r="P14" s="144">
        <v>2645.84</v>
      </c>
      <c r="Q14" s="263">
        <f t="shared" si="5"/>
        <v>24812.560000000001</v>
      </c>
    </row>
    <row r="15" spans="1:17" s="7" customFormat="1" ht="15.75" x14ac:dyDescent="0.25">
      <c r="A15" s="274" t="s">
        <v>36</v>
      </c>
      <c r="B15" s="259">
        <v>109350</v>
      </c>
      <c r="C15" s="275"/>
      <c r="D15" s="6"/>
      <c r="E15" s="142"/>
      <c r="F15" s="143"/>
      <c r="G15" s="143">
        <f>B15/9</f>
        <v>12150</v>
      </c>
      <c r="H15" s="143">
        <f>B15/9</f>
        <v>12150</v>
      </c>
      <c r="I15" s="143">
        <f>B15/9</f>
        <v>12150</v>
      </c>
      <c r="J15" s="143">
        <f>B15/9</f>
        <v>12150</v>
      </c>
      <c r="K15" s="143">
        <f>B15/9</f>
        <v>12150</v>
      </c>
      <c r="L15" s="143">
        <f>B15/9</f>
        <v>12150</v>
      </c>
      <c r="M15" s="143">
        <f>B15/9</f>
        <v>12150</v>
      </c>
      <c r="N15" s="143">
        <f>B15/9</f>
        <v>12150</v>
      </c>
      <c r="O15" s="143">
        <f>B15/9</f>
        <v>12150</v>
      </c>
      <c r="P15" s="144"/>
      <c r="Q15" s="263">
        <f t="shared" si="5"/>
        <v>109350</v>
      </c>
    </row>
    <row r="16" spans="1:17" s="7" customFormat="1" ht="16.5" customHeight="1" x14ac:dyDescent="0.25">
      <c r="A16" s="274" t="s">
        <v>37</v>
      </c>
      <c r="B16" s="259">
        <v>269151.40999999997</v>
      </c>
      <c r="C16" s="275"/>
      <c r="D16" s="6"/>
      <c r="E16" s="142"/>
      <c r="F16" s="143" t="s">
        <v>39</v>
      </c>
      <c r="G16" s="143">
        <v>26414.7</v>
      </c>
      <c r="H16" s="143">
        <v>16000</v>
      </c>
      <c r="I16" s="143">
        <v>189062.71</v>
      </c>
      <c r="J16" s="143">
        <v>6279</v>
      </c>
      <c r="K16" s="143">
        <v>6279</v>
      </c>
      <c r="L16" s="143">
        <v>6279</v>
      </c>
      <c r="M16" s="143">
        <v>6279</v>
      </c>
      <c r="N16" s="143">
        <v>6279</v>
      </c>
      <c r="O16" s="143">
        <v>6279</v>
      </c>
      <c r="P16" s="144"/>
      <c r="Q16" s="263">
        <f t="shared" si="5"/>
        <v>269151.40999999997</v>
      </c>
    </row>
    <row r="17" spans="1:17" s="7" customFormat="1" ht="15.75" customHeight="1" x14ac:dyDescent="0.25">
      <c r="A17" s="274" t="s">
        <v>183</v>
      </c>
      <c r="B17" s="259">
        <f>SUM(E17:P17)</f>
        <v>11500</v>
      </c>
      <c r="C17" s="275"/>
      <c r="D17" s="6"/>
      <c r="E17" s="142"/>
      <c r="F17" s="143"/>
      <c r="G17" s="143"/>
      <c r="H17" s="143">
        <v>0</v>
      </c>
      <c r="I17" s="143">
        <v>11500</v>
      </c>
      <c r="J17" s="143"/>
      <c r="K17" s="143"/>
      <c r="L17" s="143"/>
      <c r="M17" s="143"/>
      <c r="N17" s="143"/>
      <c r="O17" s="143"/>
      <c r="P17" s="144"/>
      <c r="Q17" s="263">
        <f t="shared" si="5"/>
        <v>11500</v>
      </c>
    </row>
    <row r="18" spans="1:17" s="7" customFormat="1" ht="15.75" customHeight="1" x14ac:dyDescent="0.25">
      <c r="A18" s="277" t="s">
        <v>38</v>
      </c>
      <c r="B18" s="265">
        <f t="shared" ref="B18" si="7">SUM(E18:P18)</f>
        <v>53360.160000000003</v>
      </c>
      <c r="C18" s="278"/>
      <c r="D18" s="6"/>
      <c r="E18" s="266">
        <v>19548.080000000002</v>
      </c>
      <c r="F18" s="267">
        <v>13272.4</v>
      </c>
      <c r="G18" s="267">
        <v>20539.68</v>
      </c>
      <c r="H18" s="145">
        <v>0</v>
      </c>
      <c r="I18" s="145"/>
      <c r="J18" s="145"/>
      <c r="K18" s="145"/>
      <c r="L18" s="145"/>
      <c r="M18" s="145"/>
      <c r="N18" s="145"/>
      <c r="O18" s="145"/>
      <c r="P18" s="146"/>
      <c r="Q18" s="263">
        <f t="shared" si="5"/>
        <v>53360.160000000003</v>
      </c>
    </row>
    <row r="19" spans="1:17" s="7" customFormat="1" ht="15.75" x14ac:dyDescent="0.25">
      <c r="A19" s="279"/>
      <c r="B19" s="2"/>
      <c r="C19" s="275"/>
      <c r="D19" s="6"/>
      <c r="E19" s="148"/>
      <c r="F19" s="148"/>
      <c r="G19" s="148"/>
      <c r="H19" s="147"/>
      <c r="I19" s="147"/>
      <c r="J19" s="147"/>
      <c r="K19" s="147"/>
      <c r="L19" s="147"/>
      <c r="M19" s="147"/>
      <c r="N19" s="147"/>
      <c r="O19" s="147"/>
      <c r="P19" s="147"/>
      <c r="Q19" s="245"/>
    </row>
    <row r="20" spans="1:17" s="7" customFormat="1" ht="15.75" x14ac:dyDescent="0.25">
      <c r="A20" s="249" t="s">
        <v>17</v>
      </c>
      <c r="B20" s="270"/>
      <c r="C20" s="251">
        <f>B21+B22</f>
        <v>9985.92</v>
      </c>
      <c r="D20" s="252"/>
      <c r="E20" s="253">
        <f>E21+E22</f>
        <v>832.16</v>
      </c>
      <c r="F20" s="254">
        <f>F21+F22</f>
        <v>832.16</v>
      </c>
      <c r="G20" s="254">
        <f t="shared" ref="G20:O20" si="8">G21+G22</f>
        <v>832.16</v>
      </c>
      <c r="H20" s="254">
        <f t="shared" si="8"/>
        <v>832.16</v>
      </c>
      <c r="I20" s="254">
        <f t="shared" si="8"/>
        <v>832.16</v>
      </c>
      <c r="J20" s="254">
        <f t="shared" si="8"/>
        <v>832.16</v>
      </c>
      <c r="K20" s="254">
        <f t="shared" si="8"/>
        <v>832.16</v>
      </c>
      <c r="L20" s="254">
        <f t="shared" si="8"/>
        <v>832.16</v>
      </c>
      <c r="M20" s="254">
        <f t="shared" si="8"/>
        <v>832.16</v>
      </c>
      <c r="N20" s="254">
        <f t="shared" si="8"/>
        <v>832.16</v>
      </c>
      <c r="O20" s="254">
        <f t="shared" si="8"/>
        <v>832.16</v>
      </c>
      <c r="P20" s="256">
        <f>P21+P22</f>
        <v>832.16</v>
      </c>
      <c r="Q20" s="257">
        <f>SUM(E20:P20)</f>
        <v>9985.92</v>
      </c>
    </row>
    <row r="21" spans="1:17" s="7" customFormat="1" ht="15.75" x14ac:dyDescent="0.25">
      <c r="A21" s="280" t="s">
        <v>41</v>
      </c>
      <c r="B21" s="259">
        <v>1825.92</v>
      </c>
      <c r="C21" s="281"/>
      <c r="D21" s="2"/>
      <c r="E21" s="260">
        <v>152.16</v>
      </c>
      <c r="F21" s="261">
        <v>152.16</v>
      </c>
      <c r="G21" s="261">
        <v>152.16</v>
      </c>
      <c r="H21" s="261">
        <v>152.16</v>
      </c>
      <c r="I21" s="261">
        <v>152.16</v>
      </c>
      <c r="J21" s="261">
        <v>152.16</v>
      </c>
      <c r="K21" s="261">
        <v>152.16</v>
      </c>
      <c r="L21" s="261">
        <v>152.16</v>
      </c>
      <c r="M21" s="261">
        <v>152.16</v>
      </c>
      <c r="N21" s="261">
        <v>152.16</v>
      </c>
      <c r="O21" s="261">
        <v>152.16</v>
      </c>
      <c r="P21" s="262">
        <v>152.16</v>
      </c>
      <c r="Q21" s="245">
        <f t="shared" ref="Q21:Q32" si="9">SUM(E21:P21)</f>
        <v>1825.9200000000003</v>
      </c>
    </row>
    <row r="22" spans="1:17" s="7" customFormat="1" ht="15.75" x14ac:dyDescent="0.25">
      <c r="A22" s="264" t="s">
        <v>154</v>
      </c>
      <c r="B22" s="265">
        <v>8160</v>
      </c>
      <c r="C22" s="282"/>
      <c r="D22" s="2"/>
      <c r="E22" s="266">
        <v>680</v>
      </c>
      <c r="F22" s="267">
        <v>680</v>
      </c>
      <c r="G22" s="267">
        <v>680</v>
      </c>
      <c r="H22" s="267">
        <v>680</v>
      </c>
      <c r="I22" s="267">
        <v>680</v>
      </c>
      <c r="J22" s="267">
        <v>680</v>
      </c>
      <c r="K22" s="267">
        <v>680</v>
      </c>
      <c r="L22" s="267">
        <v>680</v>
      </c>
      <c r="M22" s="267">
        <v>680</v>
      </c>
      <c r="N22" s="267">
        <v>680</v>
      </c>
      <c r="O22" s="267">
        <v>680</v>
      </c>
      <c r="P22" s="268">
        <v>680</v>
      </c>
      <c r="Q22" s="245">
        <f t="shared" si="9"/>
        <v>8160</v>
      </c>
    </row>
    <row r="23" spans="1:17" s="7" customFormat="1" ht="15.75" x14ac:dyDescent="0.25">
      <c r="A23" s="50"/>
      <c r="B23" s="2"/>
      <c r="C23" s="2"/>
      <c r="D23" s="2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45"/>
    </row>
    <row r="24" spans="1:17" s="288" customFormat="1" ht="15.75" x14ac:dyDescent="0.25">
      <c r="A24" s="249" t="s">
        <v>18</v>
      </c>
      <c r="B24" s="283"/>
      <c r="C24" s="251">
        <f>SUM(B25:B26)</f>
        <v>41524.589999999997</v>
      </c>
      <c r="D24" s="252"/>
      <c r="E24" s="284">
        <f>E25</f>
        <v>4152.46</v>
      </c>
      <c r="F24" s="285">
        <f t="shared" ref="F24:G24" si="10">SUM(F25:F26)</f>
        <v>4152.46</v>
      </c>
      <c r="G24" s="285">
        <f t="shared" si="10"/>
        <v>4152.46</v>
      </c>
      <c r="H24" s="285">
        <f t="shared" ref="H24:N24" si="11">SUM(H25:H26)</f>
        <v>4152.46</v>
      </c>
      <c r="I24" s="285">
        <f t="shared" si="11"/>
        <v>4152.46</v>
      </c>
      <c r="J24" s="285">
        <f t="shared" si="11"/>
        <v>4152.46</v>
      </c>
      <c r="K24" s="285">
        <f t="shared" si="11"/>
        <v>4152.46</v>
      </c>
      <c r="L24" s="285">
        <f t="shared" si="11"/>
        <v>4152.46</v>
      </c>
      <c r="M24" s="285">
        <f t="shared" si="11"/>
        <v>4152.46</v>
      </c>
      <c r="N24" s="285">
        <f t="shared" si="11"/>
        <v>4152.45</v>
      </c>
      <c r="O24" s="254"/>
      <c r="P24" s="286"/>
      <c r="Q24" s="287">
        <f t="shared" si="9"/>
        <v>41524.589999999997</v>
      </c>
    </row>
    <row r="25" spans="1:17" s="7" customFormat="1" ht="15.75" x14ac:dyDescent="0.25">
      <c r="A25" s="280" t="s">
        <v>185</v>
      </c>
      <c r="B25" s="259">
        <f>Q25</f>
        <v>41524.589999999997</v>
      </c>
      <c r="C25" s="281"/>
      <c r="D25" s="2"/>
      <c r="E25" s="260">
        <v>4152.46</v>
      </c>
      <c r="F25" s="261">
        <v>4152.46</v>
      </c>
      <c r="G25" s="261">
        <v>4152.46</v>
      </c>
      <c r="H25" s="261">
        <v>4152.46</v>
      </c>
      <c r="I25" s="261">
        <v>4152.46</v>
      </c>
      <c r="J25" s="261">
        <v>4152.46</v>
      </c>
      <c r="K25" s="261">
        <v>4152.46</v>
      </c>
      <c r="L25" s="261">
        <v>4152.46</v>
      </c>
      <c r="M25" s="261">
        <v>4152.46</v>
      </c>
      <c r="N25" s="261">
        <v>4152.45</v>
      </c>
      <c r="O25" s="261"/>
      <c r="P25" s="262"/>
      <c r="Q25" s="245">
        <f t="shared" si="9"/>
        <v>41524.589999999997</v>
      </c>
    </row>
    <row r="26" spans="1:17" s="7" customFormat="1" ht="15.75" x14ac:dyDescent="0.25">
      <c r="A26" s="264" t="s">
        <v>42</v>
      </c>
      <c r="B26" s="265"/>
      <c r="C26" s="282" t="s">
        <v>101</v>
      </c>
      <c r="D26" s="2"/>
      <c r="E26" s="318" t="s">
        <v>186</v>
      </c>
      <c r="F26" s="319"/>
      <c r="G26" s="319"/>
      <c r="H26" s="319"/>
      <c r="I26" s="319"/>
      <c r="J26" s="319"/>
      <c r="K26" s="267"/>
      <c r="L26" s="267"/>
      <c r="M26" s="267"/>
      <c r="N26" s="267"/>
      <c r="O26" s="267"/>
      <c r="P26" s="268"/>
      <c r="Q26" s="245">
        <f t="shared" si="9"/>
        <v>0</v>
      </c>
    </row>
    <row r="27" spans="1:17" s="7" customFormat="1" ht="15.75" x14ac:dyDescent="0.25">
      <c r="A27" s="50"/>
      <c r="B27" s="2"/>
      <c r="C27" s="2"/>
      <c r="D27" s="2"/>
      <c r="E27" s="261"/>
      <c r="F27" s="261"/>
      <c r="G27" s="261"/>
      <c r="H27" s="261"/>
      <c r="I27" s="148"/>
      <c r="J27" s="148"/>
      <c r="K27" s="148"/>
      <c r="L27" s="148"/>
      <c r="M27" s="148"/>
      <c r="N27" s="148"/>
      <c r="O27" s="148"/>
      <c r="P27" s="148"/>
      <c r="Q27" s="245"/>
    </row>
    <row r="28" spans="1:17" s="7" customFormat="1" ht="15.75" x14ac:dyDescent="0.25">
      <c r="A28" s="311" t="s">
        <v>19</v>
      </c>
      <c r="B28" s="312"/>
      <c r="C28" s="313">
        <f>Q28</f>
        <v>56631.67</v>
      </c>
      <c r="D28" s="252"/>
      <c r="E28" s="314">
        <v>3452</v>
      </c>
      <c r="F28" s="315">
        <v>3664</v>
      </c>
      <c r="G28" s="315">
        <v>3856</v>
      </c>
      <c r="H28" s="315">
        <v>4551</v>
      </c>
      <c r="I28" s="315">
        <v>5051</v>
      </c>
      <c r="J28" s="315">
        <v>5451</v>
      </c>
      <c r="K28" s="315">
        <v>5838.87</v>
      </c>
      <c r="L28" s="315">
        <v>5984.8</v>
      </c>
      <c r="M28" s="315">
        <v>5803</v>
      </c>
      <c r="N28" s="315">
        <v>5236</v>
      </c>
      <c r="O28" s="315">
        <v>4232</v>
      </c>
      <c r="P28" s="316">
        <v>3512</v>
      </c>
      <c r="Q28" s="257">
        <f>SUM(E28:P28)</f>
        <v>56631.67</v>
      </c>
    </row>
    <row r="29" spans="1:17" s="7" customFormat="1" ht="15.75" x14ac:dyDescent="0.25">
      <c r="A29" s="50"/>
      <c r="B29" s="2"/>
      <c r="C29" s="2"/>
      <c r="D29" s="252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245"/>
    </row>
    <row r="30" spans="1:17" s="7" customFormat="1" ht="15.75" customHeight="1" x14ac:dyDescent="0.25">
      <c r="A30" s="290" t="s">
        <v>20</v>
      </c>
      <c r="B30" s="291"/>
      <c r="C30" s="251">
        <f>B31+B32</f>
        <v>14989.42</v>
      </c>
      <c r="D30" s="252"/>
      <c r="E30" s="292">
        <f>E31+E32</f>
        <v>1040.1666666666665</v>
      </c>
      <c r="F30" s="285">
        <f t="shared" ref="F30:N30" si="12">F31+F32</f>
        <v>1040.1666666666665</v>
      </c>
      <c r="G30" s="285">
        <f t="shared" si="12"/>
        <v>1040.1666666666665</v>
      </c>
      <c r="H30" s="285">
        <f t="shared" si="12"/>
        <v>1353.1666666666665</v>
      </c>
      <c r="I30" s="285">
        <f t="shared" si="12"/>
        <v>1290.1666666666665</v>
      </c>
      <c r="J30" s="285">
        <f t="shared" si="12"/>
        <v>1312.1866666666665</v>
      </c>
      <c r="K30" s="285">
        <f t="shared" si="12"/>
        <v>1443.1666666666665</v>
      </c>
      <c r="L30" s="285">
        <f t="shared" si="12"/>
        <v>1280.2766666666666</v>
      </c>
      <c r="M30" s="285">
        <f t="shared" si="12"/>
        <v>1291.8566666666666</v>
      </c>
      <c r="N30" s="285">
        <f t="shared" si="12"/>
        <v>1343.1466666666665</v>
      </c>
      <c r="O30" s="285">
        <f>O31+O32</f>
        <v>1296.7366666666667</v>
      </c>
      <c r="P30" s="293">
        <f>P31+P32</f>
        <v>1258.2166666666667</v>
      </c>
      <c r="Q30" s="287">
        <f t="shared" si="9"/>
        <v>14989.419999999998</v>
      </c>
    </row>
    <row r="31" spans="1:17" s="7" customFormat="1" ht="15.75" customHeight="1" x14ac:dyDescent="0.25">
      <c r="A31" s="280" t="s">
        <v>138</v>
      </c>
      <c r="B31" s="294">
        <v>11150</v>
      </c>
      <c r="C31" s="295"/>
      <c r="D31" s="252"/>
      <c r="E31" s="296">
        <f>$B31/12</f>
        <v>929.16666666666663</v>
      </c>
      <c r="F31" s="289">
        <f t="shared" ref="F31:P31" si="13">$B31/12</f>
        <v>929.16666666666663</v>
      </c>
      <c r="G31" s="289">
        <f t="shared" si="13"/>
        <v>929.16666666666663</v>
      </c>
      <c r="H31" s="289">
        <f t="shared" si="13"/>
        <v>929.16666666666663</v>
      </c>
      <c r="I31" s="289">
        <f t="shared" si="13"/>
        <v>929.16666666666663</v>
      </c>
      <c r="J31" s="289">
        <f t="shared" si="13"/>
        <v>929.16666666666663</v>
      </c>
      <c r="K31" s="289">
        <f t="shared" si="13"/>
        <v>929.16666666666663</v>
      </c>
      <c r="L31" s="289">
        <f t="shared" si="13"/>
        <v>929.16666666666663</v>
      </c>
      <c r="M31" s="289">
        <f t="shared" si="13"/>
        <v>929.16666666666663</v>
      </c>
      <c r="N31" s="289">
        <f t="shared" si="13"/>
        <v>929.16666666666663</v>
      </c>
      <c r="O31" s="289">
        <f t="shared" si="13"/>
        <v>929.16666666666663</v>
      </c>
      <c r="P31" s="297">
        <f t="shared" si="13"/>
        <v>929.16666666666663</v>
      </c>
      <c r="Q31" s="298">
        <v>11150</v>
      </c>
    </row>
    <row r="32" spans="1:17" s="7" customFormat="1" ht="15.75" customHeight="1" x14ac:dyDescent="0.25">
      <c r="A32" s="264" t="s">
        <v>137</v>
      </c>
      <c r="B32" s="34">
        <f>SUM(E32:P32)</f>
        <v>3839.4200000000005</v>
      </c>
      <c r="C32" s="299"/>
      <c r="D32" s="252"/>
      <c r="E32" s="300">
        <v>111</v>
      </c>
      <c r="F32" s="301">
        <v>111</v>
      </c>
      <c r="G32" s="301">
        <v>111</v>
      </c>
      <c r="H32" s="301">
        <v>424</v>
      </c>
      <c r="I32" s="301">
        <v>361</v>
      </c>
      <c r="J32" s="301">
        <v>383.02</v>
      </c>
      <c r="K32" s="301">
        <v>514</v>
      </c>
      <c r="L32" s="301">
        <v>351.11</v>
      </c>
      <c r="M32" s="301">
        <v>362.69</v>
      </c>
      <c r="N32" s="301">
        <v>413.98</v>
      </c>
      <c r="O32" s="301">
        <v>367.57</v>
      </c>
      <c r="P32" s="302">
        <v>329.05</v>
      </c>
      <c r="Q32" s="245">
        <f t="shared" si="9"/>
        <v>3839.4200000000005</v>
      </c>
    </row>
    <row r="33" spans="1:17" x14ac:dyDescent="0.25">
      <c r="A33" s="36"/>
      <c r="B33" s="36"/>
      <c r="C33" s="36"/>
      <c r="D33" s="36"/>
      <c r="E33" s="261"/>
      <c r="F33" s="261"/>
      <c r="G33" s="261"/>
      <c r="H33" s="261"/>
      <c r="I33" s="261"/>
      <c r="J33" s="261"/>
      <c r="K33" s="261"/>
      <c r="L33" s="261"/>
      <c r="M33" s="261"/>
      <c r="N33" s="261"/>
      <c r="O33" s="261"/>
      <c r="P33" s="261"/>
    </row>
    <row r="34" spans="1:17" ht="51" x14ac:dyDescent="0.35">
      <c r="A34" s="303" t="s">
        <v>45</v>
      </c>
      <c r="B34" s="330">
        <f>C30+C28+C24+C20+C9+C4</f>
        <v>1205366.5899999999</v>
      </c>
      <c r="C34" s="331"/>
      <c r="D34" s="36"/>
      <c r="E34" s="304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6">
        <f>Q30+Q28+Q24+Q20+Q9+Q4</f>
        <v>1205366.5899999999</v>
      </c>
    </row>
    <row r="35" spans="1:17" x14ac:dyDescent="0.25">
      <c r="A35" s="36"/>
      <c r="B35" s="36"/>
      <c r="C35" s="36"/>
      <c r="D35" s="36"/>
      <c r="E35" s="261"/>
      <c r="F35" s="261"/>
      <c r="G35" s="261"/>
      <c r="H35" s="261"/>
    </row>
    <row r="36" spans="1:17" x14ac:dyDescent="0.25">
      <c r="A36" s="36"/>
      <c r="B36" s="36"/>
      <c r="C36" s="36"/>
      <c r="D36" s="36"/>
      <c r="E36" s="261"/>
      <c r="F36" s="261"/>
      <c r="G36" s="261"/>
      <c r="H36" s="261"/>
    </row>
  </sheetData>
  <sheetProtection algorithmName="SHA-512" hashValue="hnZAyI7EN4ZzVHzilQQpOXiG95jFTu75Whcv4f4S7Tyj9fA40/2riHlQyjddBduueY/UwTuiwEXIk7pRJK1KOg==" saltValue="Zm0jWkiwa7r+swafWchLTQ==" spinCount="100000" sheet="1" objects="1" scenarios="1" selectLockedCells="1" selectUnlockedCells="1"/>
  <mergeCells count="4">
    <mergeCell ref="E2:P2"/>
    <mergeCell ref="B3:C3"/>
    <mergeCell ref="A1:C1"/>
    <mergeCell ref="B34:C34"/>
  </mergeCells>
  <pageMargins left="0.7" right="0.7" top="0.75" bottom="0.75" header="0.3" footer="0.3"/>
  <pageSetup scale="56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workbookViewId="0">
      <selection sqref="A1:C1"/>
    </sheetView>
  </sheetViews>
  <sheetFormatPr defaultColWidth="9.140625" defaultRowHeight="15.75" x14ac:dyDescent="0.25"/>
  <cols>
    <col min="1" max="1" width="38.140625" style="12" customWidth="1"/>
    <col min="2" max="2" width="15.7109375" style="12" customWidth="1"/>
    <col min="3" max="3" width="15.7109375" style="132" customWidth="1"/>
    <col min="4" max="4" width="5.5703125" style="132" customWidth="1"/>
    <col min="5" max="5" width="11.42578125" style="12" customWidth="1"/>
    <col min="6" max="6" width="12.42578125" style="12" customWidth="1"/>
    <col min="7" max="7" width="11.7109375" style="12" customWidth="1"/>
    <col min="8" max="8" width="11" style="12" customWidth="1"/>
    <col min="9" max="9" width="12.140625" style="12" customWidth="1"/>
    <col min="10" max="10" width="11" style="12" customWidth="1"/>
    <col min="11" max="11" width="12" style="12" customWidth="1"/>
    <col min="12" max="12" width="10.85546875" style="12" customWidth="1"/>
    <col min="13" max="13" width="11" style="12" customWidth="1"/>
    <col min="14" max="14" width="11.28515625" style="12" customWidth="1"/>
    <col min="15" max="15" width="7.85546875" style="12" customWidth="1"/>
    <col min="16" max="16" width="8.7109375" style="12" customWidth="1"/>
    <col min="17" max="17" width="13.85546875" style="12" customWidth="1"/>
    <col min="18" max="16384" width="9.140625" style="12"/>
  </cols>
  <sheetData>
    <row r="1" spans="1:17" ht="27.75" x14ac:dyDescent="0.4">
      <c r="A1" s="332" t="s">
        <v>57</v>
      </c>
      <c r="B1" s="332"/>
      <c r="C1" s="332"/>
      <c r="D1" s="100"/>
    </row>
    <row r="2" spans="1:17" ht="27.75" x14ac:dyDescent="0.4">
      <c r="A2" s="101"/>
      <c r="B2" s="101"/>
      <c r="C2" s="102"/>
      <c r="D2" s="102"/>
      <c r="E2" s="333" t="s">
        <v>44</v>
      </c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103"/>
    </row>
    <row r="3" spans="1:17" s="108" customFormat="1" ht="20.25" x14ac:dyDescent="0.3">
      <c r="A3" s="104"/>
      <c r="B3" s="334" t="s">
        <v>47</v>
      </c>
      <c r="C3" s="334"/>
      <c r="D3" s="105"/>
      <c r="E3" s="106" t="s">
        <v>24</v>
      </c>
      <c r="F3" s="106" t="s">
        <v>25</v>
      </c>
      <c r="G3" s="106" t="s">
        <v>26</v>
      </c>
      <c r="H3" s="106" t="s">
        <v>27</v>
      </c>
      <c r="I3" s="106" t="s">
        <v>28</v>
      </c>
      <c r="J3" s="106" t="s">
        <v>29</v>
      </c>
      <c r="K3" s="106" t="s">
        <v>30</v>
      </c>
      <c r="L3" s="106" t="s">
        <v>31</v>
      </c>
      <c r="M3" s="106" t="s">
        <v>32</v>
      </c>
      <c r="N3" s="106" t="s">
        <v>33</v>
      </c>
      <c r="O3" s="106" t="s">
        <v>34</v>
      </c>
      <c r="P3" s="106" t="s">
        <v>35</v>
      </c>
      <c r="Q3" s="107"/>
    </row>
    <row r="4" spans="1:17" s="108" customFormat="1" ht="20.25" x14ac:dyDescent="0.3">
      <c r="A4" s="109" t="s">
        <v>51</v>
      </c>
      <c r="B4" s="73"/>
      <c r="C4" s="110">
        <f>B5</f>
        <v>32111.82</v>
      </c>
      <c r="D4" s="105"/>
      <c r="E4" s="111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3"/>
      <c r="Q4" s="107"/>
    </row>
    <row r="5" spans="1:17" s="108" customFormat="1" ht="20.25" x14ac:dyDescent="0.3">
      <c r="A5" s="117" t="s">
        <v>49</v>
      </c>
      <c r="B5" s="64">
        <f>SUM(E5:P5)</f>
        <v>32111.82</v>
      </c>
      <c r="C5" s="118"/>
      <c r="D5" s="116"/>
      <c r="E5" s="119">
        <v>656</v>
      </c>
      <c r="F5" s="120">
        <v>656</v>
      </c>
      <c r="G5" s="120">
        <v>1226</v>
      </c>
      <c r="H5" s="120">
        <v>1431.2</v>
      </c>
      <c r="I5" s="120">
        <v>2808.32</v>
      </c>
      <c r="J5" s="120">
        <v>3959.72</v>
      </c>
      <c r="K5" s="120">
        <v>4512.62</v>
      </c>
      <c r="L5" s="120">
        <v>5650.34</v>
      </c>
      <c r="M5" s="120">
        <v>4740.62</v>
      </c>
      <c r="N5" s="120">
        <v>3164</v>
      </c>
      <c r="O5" s="120">
        <v>2024</v>
      </c>
      <c r="P5" s="121">
        <v>1283</v>
      </c>
    </row>
    <row r="6" spans="1:17" s="108" customFormat="1" ht="20.25" x14ac:dyDescent="0.3">
      <c r="A6" s="122"/>
      <c r="B6" s="61"/>
      <c r="C6" s="4"/>
      <c r="D6" s="116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7" s="108" customFormat="1" ht="20.25" x14ac:dyDescent="0.3">
      <c r="A7" s="109" t="s">
        <v>52</v>
      </c>
      <c r="B7" s="59"/>
      <c r="C7" s="110">
        <f>SUM(B8:B10)</f>
        <v>14954.380000000003</v>
      </c>
      <c r="D7" s="4"/>
      <c r="E7" s="123"/>
      <c r="F7" s="124"/>
      <c r="G7" s="124"/>
      <c r="H7" s="124">
        <f>SUM(H8:H10)</f>
        <v>1476.94</v>
      </c>
      <c r="I7" s="124">
        <f t="shared" ref="I7:N7" si="0">SUM(I8:I10)</f>
        <v>1476.94</v>
      </c>
      <c r="J7" s="124">
        <f t="shared" si="0"/>
        <v>1976.94</v>
      </c>
      <c r="K7" s="124">
        <f t="shared" si="0"/>
        <v>1476.94</v>
      </c>
      <c r="L7" s="124">
        <f t="shared" si="0"/>
        <v>1976.94</v>
      </c>
      <c r="M7" s="124">
        <f t="shared" si="0"/>
        <v>1476.94</v>
      </c>
      <c r="N7" s="124">
        <f t="shared" si="0"/>
        <v>2461.92</v>
      </c>
      <c r="O7" s="124"/>
      <c r="P7" s="125"/>
    </row>
    <row r="8" spans="1:17" s="108" customFormat="1" ht="20.25" x14ac:dyDescent="0.3">
      <c r="A8" s="114" t="s">
        <v>53</v>
      </c>
      <c r="B8" s="61">
        <f>SUM(E8:P8)</f>
        <v>8769.3800000000028</v>
      </c>
      <c r="C8" s="115"/>
      <c r="D8" s="4"/>
      <c r="E8" s="126">
        <v>876.94</v>
      </c>
      <c r="F8" s="126">
        <v>876.94</v>
      </c>
      <c r="G8" s="126">
        <v>876.94</v>
      </c>
      <c r="H8" s="126">
        <v>876.94</v>
      </c>
      <c r="I8" s="126">
        <v>876.94</v>
      </c>
      <c r="J8" s="126">
        <v>876.94</v>
      </c>
      <c r="K8" s="126">
        <v>876.94</v>
      </c>
      <c r="L8" s="126">
        <v>876.94</v>
      </c>
      <c r="M8" s="126">
        <v>876.94</v>
      </c>
      <c r="N8" s="126">
        <v>876.92</v>
      </c>
      <c r="O8" s="103"/>
      <c r="P8" s="127"/>
    </row>
    <row r="9" spans="1:17" s="108" customFormat="1" ht="20.25" x14ac:dyDescent="0.3">
      <c r="A9" s="114" t="s">
        <v>54</v>
      </c>
      <c r="B9" s="61">
        <f>SUM(E9:P9)</f>
        <v>1500</v>
      </c>
      <c r="C9" s="115"/>
      <c r="D9" s="4"/>
      <c r="E9" s="128"/>
      <c r="F9" s="24"/>
      <c r="G9" s="24"/>
      <c r="H9" s="24"/>
      <c r="I9" s="24"/>
      <c r="J9" s="103">
        <v>500</v>
      </c>
      <c r="K9" s="103"/>
      <c r="L9" s="103">
        <v>500</v>
      </c>
      <c r="M9" s="103"/>
      <c r="N9" s="103">
        <v>500</v>
      </c>
      <c r="O9" s="24"/>
      <c r="P9" s="129"/>
    </row>
    <row r="10" spans="1:17" s="108" customFormat="1" ht="48" x14ac:dyDescent="0.3">
      <c r="A10" s="130" t="s">
        <v>140</v>
      </c>
      <c r="B10" s="64">
        <f>SUM(E10:P10)</f>
        <v>4685</v>
      </c>
      <c r="C10" s="131"/>
      <c r="D10" s="132"/>
      <c r="E10" s="133"/>
      <c r="F10" s="134"/>
      <c r="G10" s="134"/>
      <c r="H10" s="135">
        <v>600</v>
      </c>
      <c r="I10" s="135">
        <v>600</v>
      </c>
      <c r="J10" s="135">
        <v>600</v>
      </c>
      <c r="K10" s="135">
        <v>600</v>
      </c>
      <c r="L10" s="135">
        <v>600</v>
      </c>
      <c r="M10" s="135">
        <v>600</v>
      </c>
      <c r="N10" s="135">
        <v>1085</v>
      </c>
      <c r="O10" s="134"/>
      <c r="P10" s="136"/>
    </row>
    <row r="11" spans="1:17" x14ac:dyDescent="0.25">
      <c r="A11" s="122"/>
      <c r="C11" s="12"/>
    </row>
    <row r="12" spans="1:17" x14ac:dyDescent="0.25">
      <c r="A12" s="137" t="s">
        <v>55</v>
      </c>
      <c r="B12" s="138"/>
      <c r="C12" s="139">
        <v>19180</v>
      </c>
    </row>
    <row r="13" spans="1:17" x14ac:dyDescent="0.25">
      <c r="A13" s="122"/>
    </row>
    <row r="14" spans="1:17" ht="20.25" x14ac:dyDescent="0.3">
      <c r="A14" s="140" t="s">
        <v>56</v>
      </c>
      <c r="B14" s="335">
        <f>SUM(C4:C12)</f>
        <v>66246.200000000012</v>
      </c>
      <c r="C14" s="336"/>
    </row>
    <row r="15" spans="1:17" x14ac:dyDescent="0.25">
      <c r="A15" s="122"/>
    </row>
  </sheetData>
  <sheetProtection sheet="1" objects="1" scenarios="1" selectLockedCells="1" selectUnlockedCells="1"/>
  <mergeCells count="4">
    <mergeCell ref="A1:C1"/>
    <mergeCell ref="E2:P2"/>
    <mergeCell ref="B3:C3"/>
    <mergeCell ref="B14:C14"/>
  </mergeCells>
  <pageMargins left="0.7" right="0.7" top="0.75" bottom="0.75" header="0.3" footer="0.3"/>
  <pageSetup scale="5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sqref="A1:D1"/>
    </sheetView>
  </sheetViews>
  <sheetFormatPr defaultColWidth="9.140625" defaultRowHeight="15" x14ac:dyDescent="0.25"/>
  <cols>
    <col min="1" max="1" width="31.28515625" style="10" customWidth="1"/>
    <col min="2" max="2" width="4.140625" style="10" customWidth="1"/>
    <col min="3" max="3" width="19.5703125" style="10" customWidth="1"/>
    <col min="4" max="4" width="15.85546875" style="10" customWidth="1"/>
    <col min="5" max="5" width="9.140625" style="10"/>
    <col min="6" max="6" width="11.42578125" style="10" bestFit="1" customWidth="1"/>
    <col min="7" max="10" width="9.140625" style="10" customWidth="1"/>
    <col min="11" max="16384" width="9.140625" style="10"/>
  </cols>
  <sheetData>
    <row r="1" spans="1:7" s="54" customFormat="1" ht="23.25" x14ac:dyDescent="0.35">
      <c r="A1" s="343" t="s">
        <v>161</v>
      </c>
      <c r="B1" s="344"/>
      <c r="C1" s="344"/>
      <c r="D1" s="345"/>
    </row>
    <row r="2" spans="1:7" ht="15.75" x14ac:dyDescent="0.25">
      <c r="A2" s="55"/>
      <c r="B2" s="12"/>
      <c r="C2" s="56" t="s">
        <v>47</v>
      </c>
      <c r="D2" s="236" t="s">
        <v>50</v>
      </c>
    </row>
    <row r="3" spans="1:7" ht="15.75" x14ac:dyDescent="0.25">
      <c r="A3" s="58" t="s">
        <v>58</v>
      </c>
      <c r="B3" s="28"/>
      <c r="C3" s="59">
        <f>4331.45+3334</f>
        <v>7665.45</v>
      </c>
      <c r="D3" s="234">
        <f>C3/12</f>
        <v>638.78750000000002</v>
      </c>
    </row>
    <row r="4" spans="1:7" ht="15.75" x14ac:dyDescent="0.25">
      <c r="A4" s="55" t="s">
        <v>59</v>
      </c>
      <c r="B4" s="12"/>
      <c r="C4" s="61">
        <f>2771.51+2275</f>
        <v>5046.51</v>
      </c>
      <c r="D4" s="234">
        <f t="shared" ref="D4:D7" si="0">C4/12</f>
        <v>420.54250000000002</v>
      </c>
    </row>
    <row r="5" spans="1:7" ht="15.75" x14ac:dyDescent="0.25">
      <c r="A5" s="55" t="s">
        <v>155</v>
      </c>
      <c r="B5" s="12"/>
      <c r="C5" s="61">
        <f>16928+14366+1050+500</f>
        <v>32844</v>
      </c>
      <c r="D5" s="234">
        <f t="shared" si="0"/>
        <v>2737</v>
      </c>
    </row>
    <row r="6" spans="1:7" ht="15.75" x14ac:dyDescent="0.25">
      <c r="A6" s="55" t="s">
        <v>60</v>
      </c>
      <c r="B6" s="12"/>
      <c r="C6" s="61">
        <f>432+432</f>
        <v>864</v>
      </c>
      <c r="D6" s="234">
        <f t="shared" si="0"/>
        <v>72</v>
      </c>
      <c r="G6" s="237"/>
    </row>
    <row r="7" spans="1:7" ht="15.75" x14ac:dyDescent="0.25">
      <c r="A7" s="62" t="s">
        <v>61</v>
      </c>
      <c r="B7" s="63"/>
      <c r="C7" s="64">
        <f>2799+618.71</f>
        <v>3417.71</v>
      </c>
      <c r="D7" s="235">
        <f t="shared" si="0"/>
        <v>284.80916666666667</v>
      </c>
    </row>
    <row r="8" spans="1:7" ht="15" customHeight="1" x14ac:dyDescent="0.25">
      <c r="A8" s="65"/>
      <c r="B8" s="66"/>
      <c r="C8" s="12"/>
      <c r="D8" s="67"/>
      <c r="F8" s="237"/>
    </row>
    <row r="9" spans="1:7" ht="19.5" thickBot="1" x14ac:dyDescent="0.35">
      <c r="A9" s="68" t="s">
        <v>62</v>
      </c>
      <c r="B9" s="200"/>
      <c r="C9" s="200">
        <f>SUM(C3:C7)</f>
        <v>49837.67</v>
      </c>
      <c r="D9" s="3">
        <f>C9/12</f>
        <v>4153.1391666666668</v>
      </c>
      <c r="E9" s="69"/>
    </row>
    <row r="10" spans="1:7" ht="25.5" customHeight="1" thickBot="1" x14ac:dyDescent="0.3">
      <c r="A10" s="70"/>
      <c r="B10" s="66"/>
      <c r="C10" s="66"/>
      <c r="D10" s="12"/>
    </row>
    <row r="11" spans="1:7" s="54" customFormat="1" ht="23.25" x14ac:dyDescent="0.35">
      <c r="A11" s="340" t="s">
        <v>67</v>
      </c>
      <c r="B11" s="341"/>
      <c r="C11" s="341"/>
      <c r="D11" s="342"/>
    </row>
    <row r="12" spans="1:7" ht="18.75" x14ac:dyDescent="0.3">
      <c r="A12" s="71"/>
      <c r="B12" s="12"/>
      <c r="C12" s="56" t="s">
        <v>66</v>
      </c>
      <c r="D12" s="57" t="s">
        <v>50</v>
      </c>
    </row>
    <row r="13" spans="1:7" ht="15.75" x14ac:dyDescent="0.25">
      <c r="A13" s="72" t="s">
        <v>69</v>
      </c>
      <c r="B13" s="73"/>
      <c r="C13" s="74">
        <v>9345</v>
      </c>
      <c r="D13" s="60">
        <f>C13/12</f>
        <v>778.75</v>
      </c>
    </row>
    <row r="14" spans="1:7" ht="15.75" x14ac:dyDescent="0.25">
      <c r="A14" s="76" t="s">
        <v>68</v>
      </c>
      <c r="B14" s="1"/>
      <c r="C14" s="13">
        <v>28400</v>
      </c>
      <c r="D14" s="77">
        <f>C14/12</f>
        <v>2366.6666666666665</v>
      </c>
    </row>
    <row r="15" spans="1:7" ht="15.75" x14ac:dyDescent="0.25">
      <c r="A15" s="78" t="s">
        <v>136</v>
      </c>
      <c r="B15" s="79"/>
      <c r="C15" s="80">
        <v>15000</v>
      </c>
      <c r="D15" s="81">
        <f>C15/12</f>
        <v>1250</v>
      </c>
    </row>
    <row r="16" spans="1:7" ht="15" customHeight="1" x14ac:dyDescent="0.3">
      <c r="A16" s="71"/>
      <c r="B16" s="12"/>
      <c r="C16" s="24"/>
      <c r="D16" s="82"/>
    </row>
    <row r="17" spans="1:4" ht="19.5" thickBot="1" x14ac:dyDescent="0.35">
      <c r="A17" s="83" t="s">
        <v>48</v>
      </c>
      <c r="B17" s="84"/>
      <c r="C17" s="85">
        <f>SUM(C13:C15)</f>
        <v>52745</v>
      </c>
      <c r="D17" s="86">
        <f>SUM(D13:D15)</f>
        <v>4395.4166666666661</v>
      </c>
    </row>
    <row r="18" spans="1:4" ht="25.5" customHeight="1" thickBot="1" x14ac:dyDescent="0.3">
      <c r="A18" s="70"/>
      <c r="B18" s="12"/>
      <c r="C18" s="12"/>
      <c r="D18" s="12"/>
    </row>
    <row r="19" spans="1:4" s="54" customFormat="1" ht="23.25" x14ac:dyDescent="0.35">
      <c r="A19" s="340" t="s">
        <v>70</v>
      </c>
      <c r="B19" s="341"/>
      <c r="C19" s="341"/>
      <c r="D19" s="342"/>
    </row>
    <row r="20" spans="1:4" ht="18.75" x14ac:dyDescent="0.3">
      <c r="A20" s="71"/>
      <c r="B20" s="12"/>
      <c r="C20" s="56" t="s">
        <v>66</v>
      </c>
      <c r="D20" s="57" t="s">
        <v>50</v>
      </c>
    </row>
    <row r="21" spans="1:4" ht="15.75" x14ac:dyDescent="0.25">
      <c r="A21" s="72" t="s">
        <v>156</v>
      </c>
      <c r="B21" s="73"/>
      <c r="C21" s="74">
        <f>6300+3000+4848+600+3840</f>
        <v>18588</v>
      </c>
      <c r="D21" s="75">
        <f>C21/12</f>
        <v>1549</v>
      </c>
    </row>
    <row r="22" spans="1:4" ht="15.75" x14ac:dyDescent="0.25">
      <c r="A22" s="76" t="s">
        <v>72</v>
      </c>
      <c r="B22" s="1"/>
      <c r="C22" s="13">
        <f>35600.24+55536</f>
        <v>91136.239999999991</v>
      </c>
      <c r="D22" s="77">
        <f t="shared" ref="D22:D24" si="1">C22/12</f>
        <v>7594.6866666666656</v>
      </c>
    </row>
    <row r="23" spans="1:4" ht="15.75" x14ac:dyDescent="0.25">
      <c r="A23" s="76" t="s">
        <v>168</v>
      </c>
      <c r="B23" s="1"/>
      <c r="C23" s="13">
        <v>0</v>
      </c>
      <c r="D23" s="77">
        <f>C23/12</f>
        <v>0</v>
      </c>
    </row>
    <row r="24" spans="1:4" ht="15.75" x14ac:dyDescent="0.25">
      <c r="A24" s="78" t="s">
        <v>71</v>
      </c>
      <c r="B24" s="79"/>
      <c r="C24" s="80">
        <f>2848.02+4442.88</f>
        <v>7290.9</v>
      </c>
      <c r="D24" s="81">
        <f t="shared" si="1"/>
        <v>607.57499999999993</v>
      </c>
    </row>
    <row r="25" spans="1:4" ht="15" customHeight="1" x14ac:dyDescent="0.3">
      <c r="A25" s="71"/>
      <c r="B25" s="12"/>
      <c r="C25" s="87"/>
      <c r="D25" s="88"/>
    </row>
    <row r="26" spans="1:4" ht="19.5" thickBot="1" x14ac:dyDescent="0.35">
      <c r="A26" s="83" t="s">
        <v>48</v>
      </c>
      <c r="B26" s="84"/>
      <c r="C26" s="89">
        <f>SUM(C21:C24)</f>
        <v>117015.13999999998</v>
      </c>
      <c r="D26" s="90">
        <f>C26/12</f>
        <v>9751.2616666666654</v>
      </c>
    </row>
    <row r="27" spans="1:4" ht="19.5" thickBot="1" x14ac:dyDescent="0.35">
      <c r="A27" s="91"/>
      <c r="B27" s="91"/>
      <c r="C27" s="91"/>
    </row>
    <row r="28" spans="1:4" ht="22.5" x14ac:dyDescent="0.3">
      <c r="A28" s="337" t="s">
        <v>65</v>
      </c>
      <c r="B28" s="338"/>
      <c r="C28" s="338"/>
      <c r="D28" s="339"/>
    </row>
    <row r="29" spans="1:4" ht="26.25" x14ac:dyDescent="0.4">
      <c r="A29" s="92"/>
      <c r="B29" s="93"/>
      <c r="C29" s="93"/>
      <c r="D29" s="94"/>
    </row>
    <row r="30" spans="1:4" ht="15.75" x14ac:dyDescent="0.25">
      <c r="A30" s="76"/>
      <c r="B30" s="1"/>
      <c r="C30" s="56" t="s">
        <v>66</v>
      </c>
      <c r="D30" s="57" t="s">
        <v>50</v>
      </c>
    </row>
    <row r="31" spans="1:4" ht="15.75" x14ac:dyDescent="0.25">
      <c r="A31" s="95" t="s">
        <v>63</v>
      </c>
      <c r="B31" s="96"/>
      <c r="C31" s="97">
        <v>9420</v>
      </c>
      <c r="D31" s="98">
        <f>C31/12</f>
        <v>785</v>
      </c>
    </row>
    <row r="32" spans="1:4" ht="15.75" x14ac:dyDescent="0.25">
      <c r="A32" s="72" t="s">
        <v>64</v>
      </c>
      <c r="B32" s="73"/>
      <c r="C32" s="74">
        <v>15459.6</v>
      </c>
      <c r="D32" s="75">
        <f>C32/12</f>
        <v>1288.3</v>
      </c>
    </row>
    <row r="33" spans="1:9" ht="19.5" thickBot="1" x14ac:dyDescent="0.35">
      <c r="A33" s="83" t="s">
        <v>48</v>
      </c>
      <c r="B33" s="199"/>
      <c r="C33" s="199">
        <f>C31+C32</f>
        <v>24879.599999999999</v>
      </c>
      <c r="D33" s="90">
        <f>C33/12</f>
        <v>2073.2999999999997</v>
      </c>
    </row>
    <row r="34" spans="1:9" x14ac:dyDescent="0.25">
      <c r="I34" s="99"/>
    </row>
  </sheetData>
  <sheetProtection sheet="1" objects="1" scenarios="1" selectLockedCells="1" selectUnlockedCells="1"/>
  <mergeCells count="4">
    <mergeCell ref="A28:D28"/>
    <mergeCell ref="A11:D11"/>
    <mergeCell ref="A19:D19"/>
    <mergeCell ref="A1:D1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opLeftCell="A4" workbookViewId="0">
      <selection activeCell="F39" sqref="F39"/>
    </sheetView>
  </sheetViews>
  <sheetFormatPr defaultColWidth="22" defaultRowHeight="15" x14ac:dyDescent="0.25"/>
  <cols>
    <col min="1" max="1" width="10.140625" style="12" customWidth="1"/>
    <col min="2" max="2" width="40.140625" style="12" customWidth="1"/>
    <col min="3" max="3" width="13.28515625" style="26" customWidth="1"/>
    <col min="4" max="4" width="12.28515625" style="12" customWidth="1"/>
    <col min="5" max="5" width="17.140625" style="12" customWidth="1"/>
    <col min="6" max="16384" width="22" style="12"/>
  </cols>
  <sheetData>
    <row r="1" spans="1:6" ht="23.25" x14ac:dyDescent="0.35">
      <c r="B1" s="238"/>
      <c r="C1" s="239" t="s">
        <v>187</v>
      </c>
    </row>
    <row r="2" spans="1:6" ht="15.75" x14ac:dyDescent="0.25">
      <c r="C2" s="25"/>
    </row>
    <row r="3" spans="1:6" x14ac:dyDescent="0.25">
      <c r="B3" s="26" t="s">
        <v>103</v>
      </c>
      <c r="C3" s="26" t="s">
        <v>104</v>
      </c>
      <c r="D3" s="26"/>
      <c r="E3" s="26" t="s">
        <v>106</v>
      </c>
    </row>
    <row r="4" spans="1:6" x14ac:dyDescent="0.25">
      <c r="A4" s="27" t="s">
        <v>107</v>
      </c>
      <c r="B4" s="28"/>
      <c r="C4" s="29"/>
      <c r="D4" s="28"/>
      <c r="E4" s="30"/>
    </row>
    <row r="5" spans="1:6" x14ac:dyDescent="0.25">
      <c r="A5" s="203"/>
      <c r="B5" t="s">
        <v>142</v>
      </c>
      <c r="C5" s="26">
        <v>1</v>
      </c>
      <c r="D5" s="38"/>
      <c r="E5" s="204">
        <v>1050</v>
      </c>
    </row>
    <row r="6" spans="1:6" x14ac:dyDescent="0.25">
      <c r="A6" s="31"/>
      <c r="B6" s="205" t="s">
        <v>143</v>
      </c>
      <c r="C6" s="33">
        <v>2</v>
      </c>
      <c r="D6" s="34"/>
      <c r="E6" s="35">
        <v>2100</v>
      </c>
      <c r="F6" s="36"/>
    </row>
    <row r="7" spans="1:6" x14ac:dyDescent="0.25">
      <c r="B7" s="36"/>
      <c r="C7" s="37"/>
      <c r="D7" s="38"/>
      <c r="E7" s="38"/>
      <c r="F7" s="36"/>
    </row>
    <row r="8" spans="1:6" x14ac:dyDescent="0.25">
      <c r="A8" s="27" t="s">
        <v>108</v>
      </c>
      <c r="B8" s="39"/>
      <c r="C8" s="40"/>
      <c r="D8" s="41"/>
      <c r="E8" s="42"/>
      <c r="F8" s="36"/>
    </row>
    <row r="9" spans="1:6" x14ac:dyDescent="0.25">
      <c r="A9" s="19"/>
      <c r="B9" s="36" t="s">
        <v>109</v>
      </c>
      <c r="C9" s="37">
        <v>31</v>
      </c>
      <c r="D9" s="38"/>
      <c r="E9" s="43">
        <v>9300</v>
      </c>
      <c r="F9" s="36"/>
    </row>
    <row r="10" spans="1:6" ht="15.75" x14ac:dyDescent="0.25">
      <c r="A10" s="19"/>
      <c r="B10" s="36" t="s">
        <v>110</v>
      </c>
      <c r="C10" s="37">
        <v>3</v>
      </c>
      <c r="D10" s="2"/>
      <c r="E10" s="43">
        <v>2280</v>
      </c>
      <c r="F10" s="36"/>
    </row>
    <row r="11" spans="1:6" x14ac:dyDescent="0.25">
      <c r="A11" s="31"/>
      <c r="B11" s="32" t="s">
        <v>111</v>
      </c>
      <c r="C11" s="33" t="s">
        <v>144</v>
      </c>
      <c r="D11" s="34"/>
      <c r="E11" s="35"/>
      <c r="F11" s="36"/>
    </row>
    <row r="12" spans="1:6" x14ac:dyDescent="0.25">
      <c r="B12" s="36"/>
      <c r="C12" s="37"/>
      <c r="D12" s="38"/>
      <c r="E12" s="38"/>
      <c r="F12" s="36"/>
    </row>
    <row r="13" spans="1:6" x14ac:dyDescent="0.25">
      <c r="A13" s="27" t="s">
        <v>112</v>
      </c>
      <c r="B13" s="39"/>
      <c r="C13" s="40"/>
      <c r="D13" s="41"/>
      <c r="E13" s="42"/>
      <c r="F13" s="36"/>
    </row>
    <row r="14" spans="1:6" x14ac:dyDescent="0.25">
      <c r="A14" s="19"/>
      <c r="B14" s="36" t="s">
        <v>113</v>
      </c>
      <c r="C14" s="37" t="s">
        <v>146</v>
      </c>
      <c r="D14" s="38"/>
      <c r="E14" s="43"/>
      <c r="F14" s="36"/>
    </row>
    <row r="15" spans="1:6" x14ac:dyDescent="0.25">
      <c r="A15" s="31"/>
      <c r="B15" s="32" t="s">
        <v>114</v>
      </c>
      <c r="C15" s="33" t="s">
        <v>145</v>
      </c>
      <c r="D15" s="34"/>
      <c r="E15" s="35"/>
      <c r="F15" s="36"/>
    </row>
    <row r="16" spans="1:6" x14ac:dyDescent="0.25">
      <c r="B16" s="36"/>
      <c r="C16" s="37"/>
      <c r="D16" s="38"/>
      <c r="E16" s="38"/>
      <c r="F16" s="36"/>
    </row>
    <row r="17" spans="1:6" x14ac:dyDescent="0.25">
      <c r="A17" s="27" t="s">
        <v>102</v>
      </c>
      <c r="B17" s="39"/>
      <c r="C17" s="40"/>
      <c r="D17" s="41"/>
      <c r="E17" s="42"/>
      <c r="F17" s="36"/>
    </row>
    <row r="18" spans="1:6" x14ac:dyDescent="0.25">
      <c r="A18" s="19"/>
      <c r="B18" s="36" t="s">
        <v>115</v>
      </c>
      <c r="C18" s="37">
        <v>1</v>
      </c>
      <c r="D18" s="38"/>
      <c r="E18" s="43">
        <v>765</v>
      </c>
      <c r="F18" s="36"/>
    </row>
    <row r="19" spans="1:6" x14ac:dyDescent="0.25">
      <c r="A19" s="31"/>
      <c r="B19" s="32" t="s">
        <v>116</v>
      </c>
      <c r="C19" s="33">
        <v>1</v>
      </c>
      <c r="D19" s="34"/>
      <c r="E19" s="35">
        <v>765</v>
      </c>
      <c r="F19" s="36"/>
    </row>
    <row r="20" spans="1:6" x14ac:dyDescent="0.25">
      <c r="B20" s="36"/>
      <c r="C20" s="37"/>
      <c r="D20" s="38"/>
      <c r="E20" s="38"/>
      <c r="F20" s="36"/>
    </row>
    <row r="21" spans="1:6" x14ac:dyDescent="0.25">
      <c r="A21" s="27" t="s">
        <v>117</v>
      </c>
      <c r="B21" s="39"/>
      <c r="C21" s="40"/>
      <c r="D21" s="41"/>
      <c r="E21" s="42"/>
      <c r="F21" s="36"/>
    </row>
    <row r="22" spans="1:6" x14ac:dyDescent="0.25">
      <c r="A22" s="19"/>
      <c r="B22" s="36" t="s">
        <v>147</v>
      </c>
      <c r="C22" s="37">
        <v>5</v>
      </c>
      <c r="D22" s="38"/>
      <c r="E22" s="43">
        <v>1125</v>
      </c>
      <c r="F22" s="36"/>
    </row>
    <row r="23" spans="1:6" x14ac:dyDescent="0.25">
      <c r="A23" s="19"/>
      <c r="B23" s="36" t="s">
        <v>118</v>
      </c>
      <c r="C23" s="44">
        <v>1</v>
      </c>
      <c r="D23" s="38"/>
      <c r="E23" s="43">
        <v>200</v>
      </c>
      <c r="F23" s="36"/>
    </row>
    <row r="24" spans="1:6" x14ac:dyDescent="0.25">
      <c r="A24" s="19"/>
      <c r="B24" s="36" t="s">
        <v>119</v>
      </c>
      <c r="C24" s="44">
        <v>1</v>
      </c>
      <c r="D24" s="38"/>
      <c r="E24" s="43">
        <v>420</v>
      </c>
      <c r="F24" s="36"/>
    </row>
    <row r="25" spans="1:6" x14ac:dyDescent="0.25">
      <c r="A25" s="31"/>
      <c r="B25" s="32" t="s">
        <v>120</v>
      </c>
      <c r="C25" s="33">
        <v>1</v>
      </c>
      <c r="D25" s="34"/>
      <c r="E25" s="35">
        <v>420</v>
      </c>
      <c r="F25" s="36"/>
    </row>
    <row r="26" spans="1:6" x14ac:dyDescent="0.25">
      <c r="B26" s="36"/>
      <c r="C26" s="37"/>
      <c r="D26" s="36"/>
      <c r="E26" s="36"/>
      <c r="F26" s="36"/>
    </row>
    <row r="27" spans="1:6" x14ac:dyDescent="0.25">
      <c r="A27" s="27" t="s">
        <v>129</v>
      </c>
      <c r="B27" s="39"/>
      <c r="C27" s="40"/>
      <c r="D27" s="39"/>
      <c r="E27" s="45"/>
      <c r="F27" s="36"/>
    </row>
    <row r="28" spans="1:6" x14ac:dyDescent="0.25">
      <c r="A28" s="31"/>
      <c r="B28" s="46" t="s">
        <v>157</v>
      </c>
      <c r="C28" s="33">
        <v>1</v>
      </c>
      <c r="D28" s="34"/>
      <c r="E28" s="35">
        <v>30878.560000000001</v>
      </c>
      <c r="F28" s="36"/>
    </row>
    <row r="29" spans="1:6" x14ac:dyDescent="0.25">
      <c r="B29" s="47"/>
      <c r="C29" s="37"/>
      <c r="D29" s="38"/>
      <c r="E29" s="38"/>
      <c r="F29" s="36"/>
    </row>
    <row r="30" spans="1:6" ht="18.75" x14ac:dyDescent="0.3">
      <c r="B30" s="36"/>
      <c r="C30" s="48"/>
      <c r="D30" s="49" t="s">
        <v>121</v>
      </c>
      <c r="E30" s="206">
        <f>SUM(E5:E28)</f>
        <v>49303.56</v>
      </c>
      <c r="F30" s="36"/>
    </row>
    <row r="31" spans="1:6" x14ac:dyDescent="0.25">
      <c r="B31" s="36"/>
      <c r="C31" s="37"/>
      <c r="D31" s="36"/>
      <c r="E31" s="36"/>
      <c r="F31" s="36"/>
    </row>
    <row r="32" spans="1:6" ht="15.75" x14ac:dyDescent="0.25">
      <c r="B32" s="36"/>
      <c r="C32" s="37"/>
      <c r="D32" s="50" t="s">
        <v>122</v>
      </c>
      <c r="E32" s="51">
        <v>29</v>
      </c>
      <c r="F32" s="36"/>
    </row>
    <row r="33" spans="2:6" ht="15.75" x14ac:dyDescent="0.25">
      <c r="B33" s="36"/>
      <c r="C33" s="37"/>
      <c r="D33" s="207" t="s">
        <v>123</v>
      </c>
      <c r="E33" s="208">
        <f>E30/E32</f>
        <v>1700.1227586206896</v>
      </c>
      <c r="F33" s="36"/>
    </row>
    <row r="34" spans="2:6" x14ac:dyDescent="0.25">
      <c r="B34" s="36"/>
      <c r="C34" s="37"/>
      <c r="D34" s="52"/>
      <c r="E34" s="53"/>
      <c r="F34" s="36"/>
    </row>
    <row r="35" spans="2:6" x14ac:dyDescent="0.25">
      <c r="B35" s="209" t="s">
        <v>124</v>
      </c>
      <c r="C35" s="210"/>
      <c r="D35" s="36"/>
      <c r="E35" s="36"/>
    </row>
    <row r="36" spans="2:6" x14ac:dyDescent="0.25">
      <c r="B36" s="211" t="s">
        <v>125</v>
      </c>
      <c r="C36" s="212"/>
      <c r="D36" s="36"/>
      <c r="E36" s="36"/>
    </row>
    <row r="37" spans="2:6" x14ac:dyDescent="0.25">
      <c r="B37" s="211" t="s">
        <v>126</v>
      </c>
      <c r="C37" s="212"/>
      <c r="D37" s="36"/>
      <c r="E37" s="36"/>
    </row>
    <row r="38" spans="2:6" x14ac:dyDescent="0.25">
      <c r="B38" s="211" t="s">
        <v>127</v>
      </c>
      <c r="C38" s="212"/>
      <c r="D38" s="36"/>
      <c r="E38" s="36"/>
    </row>
    <row r="39" spans="2:6" x14ac:dyDescent="0.25">
      <c r="B39" s="211" t="s">
        <v>128</v>
      </c>
      <c r="C39" s="213"/>
      <c r="E39" s="36"/>
    </row>
    <row r="40" spans="2:6" x14ac:dyDescent="0.25">
      <c r="B40" s="215" t="s">
        <v>148</v>
      </c>
      <c r="C40" s="214">
        <f>SUM(E30-E28)</f>
        <v>18424.999999999996</v>
      </c>
      <c r="D40" s="36"/>
      <c r="E40" s="36"/>
    </row>
    <row r="41" spans="2:6" x14ac:dyDescent="0.25">
      <c r="B41" s="36"/>
      <c r="C41" s="37"/>
      <c r="D41" s="36"/>
      <c r="E41" s="36"/>
      <c r="F41" s="36"/>
    </row>
    <row r="42" spans="2:6" x14ac:dyDescent="0.25">
      <c r="B42" s="36"/>
      <c r="C42" s="37"/>
      <c r="D42" s="36"/>
      <c r="E42" s="36"/>
      <c r="F42" s="36"/>
    </row>
  </sheetData>
  <sheetProtection algorithmName="SHA-512" hashValue="RC7RxUXx4DpICm2+9Yj6+j9hWsd/aXDBNTw34qDk5x0hoZkYQgd/50H7mKSPDSnw5484FVgPgUv+YEY0iyasfA==" saltValue="OD6sIr5pqdT3lUN+X0Bgag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workbookViewId="0">
      <selection activeCell="F14" sqref="F14"/>
    </sheetView>
  </sheetViews>
  <sheetFormatPr defaultColWidth="22.140625" defaultRowHeight="15" x14ac:dyDescent="0.25"/>
  <cols>
    <col min="1" max="1" width="10" customWidth="1"/>
    <col min="2" max="2" width="37.28515625" customWidth="1"/>
    <col min="3" max="3" width="11.7109375" style="187" customWidth="1"/>
    <col min="4" max="4" width="14.7109375" customWidth="1"/>
    <col min="5" max="5" width="14" customWidth="1"/>
  </cols>
  <sheetData>
    <row r="1" spans="1:5" ht="22.5" x14ac:dyDescent="0.3">
      <c r="A1" s="5"/>
      <c r="B1" s="227"/>
      <c r="C1" s="228" t="s">
        <v>188</v>
      </c>
      <c r="D1" s="149"/>
      <c r="E1" s="5"/>
    </row>
    <row r="2" spans="1:5" ht="15.75" x14ac:dyDescent="0.25">
      <c r="A2" s="5"/>
      <c r="B2" s="5"/>
      <c r="C2" s="190"/>
      <c r="D2" s="5"/>
      <c r="E2" s="5"/>
    </row>
    <row r="3" spans="1:5" ht="16.5" thickBot="1" x14ac:dyDescent="0.3">
      <c r="A3" s="191"/>
      <c r="B3" s="192" t="s">
        <v>103</v>
      </c>
      <c r="C3" s="192" t="s">
        <v>104</v>
      </c>
      <c r="D3" s="192" t="s">
        <v>105</v>
      </c>
      <c r="E3" s="192" t="s">
        <v>106</v>
      </c>
    </row>
    <row r="4" spans="1:5" ht="15.75" x14ac:dyDescent="0.25">
      <c r="A4" s="5"/>
      <c r="B4" s="5"/>
      <c r="C4" s="141"/>
      <c r="D4" s="14"/>
      <c r="E4" s="14"/>
    </row>
    <row r="5" spans="1:5" ht="31.5" x14ac:dyDescent="0.25">
      <c r="A5" s="5"/>
      <c r="B5" s="164" t="s">
        <v>158</v>
      </c>
      <c r="C5" s="193">
        <v>1</v>
      </c>
      <c r="D5" s="165">
        <v>41457</v>
      </c>
      <c r="E5" s="165">
        <f t="shared" ref="E5" si="0">C5*D5</f>
        <v>41457</v>
      </c>
    </row>
    <row r="6" spans="1:5" ht="15.75" x14ac:dyDescent="0.25">
      <c r="A6" s="5"/>
      <c r="B6" s="7" t="s">
        <v>135</v>
      </c>
      <c r="C6" s="193">
        <v>2</v>
      </c>
      <c r="D6" s="165">
        <v>350</v>
      </c>
      <c r="E6" s="165">
        <f t="shared" ref="E6:E7" si="1">C6*D6</f>
        <v>700</v>
      </c>
    </row>
    <row r="7" spans="1:5" ht="32.25" thickBot="1" x14ac:dyDescent="0.3">
      <c r="A7" s="5"/>
      <c r="B7" s="164" t="s">
        <v>165</v>
      </c>
      <c r="C7" s="187">
        <v>1</v>
      </c>
      <c r="D7" s="165">
        <v>-2487.42</v>
      </c>
      <c r="E7" s="165">
        <f t="shared" si="1"/>
        <v>-2487.42</v>
      </c>
    </row>
    <row r="8" spans="1:5" ht="16.5" thickBot="1" x14ac:dyDescent="0.3">
      <c r="A8" s="5"/>
      <c r="B8" s="7"/>
      <c r="C8" s="193"/>
      <c r="D8" s="194" t="s">
        <v>121</v>
      </c>
      <c r="E8" s="195">
        <f>SUM(E4:E7)</f>
        <v>39669.58</v>
      </c>
    </row>
    <row r="9" spans="1:5" ht="15.75" x14ac:dyDescent="0.25">
      <c r="A9" s="5"/>
      <c r="B9" s="7"/>
      <c r="C9" s="193"/>
      <c r="D9" s="7"/>
      <c r="E9" s="7"/>
    </row>
    <row r="10" spans="1:5" ht="16.5" thickBot="1" x14ac:dyDescent="0.3">
      <c r="A10" s="5"/>
      <c r="B10" s="10"/>
      <c r="C10" s="193"/>
      <c r="D10" s="7" t="s">
        <v>122</v>
      </c>
      <c r="E10" s="196">
        <v>150</v>
      </c>
    </row>
    <row r="11" spans="1:5" ht="16.5" thickBot="1" x14ac:dyDescent="0.3">
      <c r="A11" s="197"/>
      <c r="B11" s="7"/>
      <c r="C11" s="193"/>
      <c r="D11" s="194" t="s">
        <v>123</v>
      </c>
      <c r="E11" s="198">
        <f>E8/E10</f>
        <v>264.46386666666666</v>
      </c>
    </row>
    <row r="14" spans="1:5" x14ac:dyDescent="0.25">
      <c r="D14" s="188"/>
    </row>
    <row r="16" spans="1:5" x14ac:dyDescent="0.25">
      <c r="E16" s="189"/>
    </row>
  </sheetData>
  <sheetProtection algorithmName="SHA-512" hashValue="D38WUNYdkjK+70eG1D0JUuOcukQousEShNPbig8ZkKhhd1p6O9P3jd0vpAv19/22VoiW16sGH40cJH2ZJO25Pg==" saltValue="uazyadO1l2ghI9zJR1S0Bw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F17" sqref="F17"/>
    </sheetView>
  </sheetViews>
  <sheetFormatPr defaultColWidth="9.140625" defaultRowHeight="15" x14ac:dyDescent="0.25"/>
  <cols>
    <col min="1" max="1" width="48.42578125" style="10" customWidth="1"/>
    <col min="2" max="3" width="9.140625" style="10"/>
    <col min="4" max="4" width="12.7109375" style="10" bestFit="1" customWidth="1"/>
    <col min="5" max="9" width="9.140625" style="10"/>
    <col min="10" max="10" width="14.5703125" style="10" customWidth="1"/>
    <col min="11" max="16384" width="9.140625" style="10"/>
  </cols>
  <sheetData>
    <row r="1" spans="1:8" ht="21.75" customHeight="1" x14ac:dyDescent="0.3">
      <c r="A1" s="240" t="s">
        <v>189</v>
      </c>
      <c r="B1" s="219"/>
      <c r="C1" s="36"/>
      <c r="D1" s="36"/>
      <c r="E1" s="36"/>
    </row>
    <row r="2" spans="1:8" ht="21.75" customHeight="1" x14ac:dyDescent="0.3">
      <c r="A2" s="219"/>
      <c r="B2" s="219"/>
      <c r="C2" s="36"/>
      <c r="D2" s="36"/>
      <c r="E2" s="36"/>
    </row>
    <row r="3" spans="1:8" ht="15.75" x14ac:dyDescent="0.25">
      <c r="A3" s="6"/>
      <c r="B3" s="6"/>
      <c r="C3" s="6"/>
      <c r="D3" s="216" t="s">
        <v>105</v>
      </c>
      <c r="E3" s="1"/>
      <c r="G3" s="12"/>
    </row>
    <row r="4" spans="1:8" ht="33.75" customHeight="1" x14ac:dyDescent="0.25">
      <c r="A4" s="218" t="s">
        <v>134</v>
      </c>
      <c r="B4" s="217"/>
      <c r="C4" s="217"/>
      <c r="D4" s="223">
        <v>11022.03</v>
      </c>
      <c r="E4" s="222"/>
      <c r="F4" s="20"/>
      <c r="G4" s="21"/>
      <c r="H4" s="12"/>
    </row>
    <row r="5" spans="1:8" ht="33.75" customHeight="1" x14ac:dyDescent="0.25">
      <c r="A5" s="220"/>
      <c r="B5" s="6"/>
      <c r="C5" s="6"/>
      <c r="D5" s="222"/>
      <c r="E5" s="222"/>
      <c r="F5" s="20"/>
      <c r="G5" s="21"/>
      <c r="H5" s="12"/>
    </row>
    <row r="6" spans="1:8" ht="15.75" x14ac:dyDescent="0.25">
      <c r="A6" s="6"/>
      <c r="B6" s="224"/>
      <c r="C6" s="207" t="s">
        <v>122</v>
      </c>
      <c r="D6" s="225">
        <v>29</v>
      </c>
      <c r="E6" s="6"/>
      <c r="F6" s="6"/>
      <c r="G6" s="5"/>
    </row>
    <row r="7" spans="1:8" ht="15.75" x14ac:dyDescent="0.25">
      <c r="A7" s="6"/>
      <c r="B7" s="224"/>
      <c r="C7" s="207" t="s">
        <v>130</v>
      </c>
      <c r="D7" s="226">
        <v>380.07</v>
      </c>
      <c r="E7" s="6"/>
      <c r="F7" s="6"/>
      <c r="G7" s="5"/>
    </row>
    <row r="8" spans="1:8" ht="15.75" x14ac:dyDescent="0.25">
      <c r="A8" s="221"/>
      <c r="B8" s="6"/>
      <c r="C8" s="6"/>
      <c r="D8" s="6"/>
      <c r="E8" s="6"/>
      <c r="F8" s="6"/>
      <c r="G8" s="5"/>
    </row>
    <row r="9" spans="1:8" ht="15.75" x14ac:dyDescent="0.25">
      <c r="A9" s="6"/>
      <c r="B9" s="6"/>
      <c r="C9" s="6"/>
      <c r="D9" s="6"/>
      <c r="E9" s="6"/>
      <c r="F9" s="6"/>
      <c r="G9" s="5"/>
    </row>
    <row r="10" spans="1:8" ht="15.75" x14ac:dyDescent="0.25">
      <c r="A10" s="221" t="s">
        <v>131</v>
      </c>
      <c r="B10" s="6"/>
      <c r="C10" s="6"/>
      <c r="D10" s="6"/>
      <c r="E10" s="6"/>
      <c r="F10" s="6"/>
      <c r="G10" s="5"/>
    </row>
    <row r="11" spans="1:8" ht="15.75" x14ac:dyDescent="0.25">
      <c r="A11" s="6" t="s">
        <v>132</v>
      </c>
      <c r="B11" s="6"/>
      <c r="C11" s="6"/>
      <c r="D11" s="6"/>
      <c r="E11" s="6"/>
      <c r="F11" s="6"/>
      <c r="G11" s="5"/>
    </row>
    <row r="12" spans="1:8" ht="15.75" x14ac:dyDescent="0.25">
      <c r="A12" s="6" t="s">
        <v>133</v>
      </c>
      <c r="B12" s="6"/>
      <c r="C12" s="6"/>
      <c r="D12" s="6"/>
      <c r="E12" s="6"/>
      <c r="F12" s="6"/>
      <c r="G12" s="5"/>
    </row>
    <row r="13" spans="1:8" ht="15.75" x14ac:dyDescent="0.25">
      <c r="A13" s="6"/>
      <c r="B13" s="6"/>
      <c r="C13" s="6"/>
      <c r="D13" s="6"/>
      <c r="E13" s="6"/>
      <c r="F13" s="6"/>
      <c r="G13" s="5"/>
    </row>
    <row r="14" spans="1:8" ht="15.75" x14ac:dyDescent="0.25">
      <c r="A14" s="1"/>
      <c r="B14" s="1"/>
      <c r="C14" s="1"/>
      <c r="D14" s="1"/>
      <c r="E14" s="1"/>
      <c r="F14" s="1"/>
      <c r="G14" s="5"/>
    </row>
    <row r="15" spans="1:8" ht="15.75" x14ac:dyDescent="0.25">
      <c r="A15" s="22"/>
      <c r="B15" s="5"/>
      <c r="C15" s="5"/>
      <c r="D15" s="5"/>
      <c r="E15" s="5"/>
      <c r="F15" s="5"/>
      <c r="G15" s="5"/>
    </row>
    <row r="16" spans="1:8" x14ac:dyDescent="0.25">
      <c r="A16" s="23"/>
    </row>
  </sheetData>
  <sheetProtection algorithmName="SHA-512" hashValue="HUEq66UyPrutfdDzaWJPLocAcZ6xrIYxMSPiY4ZxABhOSmSApVDp0L+AwiO2E12WH2hL974+jDoZnkK1faEZ5Q==" saltValue="3WsOXti/Nu4401c6OkrhVQ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2021 HOA General</vt:lpstr>
      <vt:lpstr>Cash</vt:lpstr>
      <vt:lpstr>Dues</vt:lpstr>
      <vt:lpstr>Common Area Exp</vt:lpstr>
      <vt:lpstr>Irrigation</vt:lpstr>
      <vt:lpstr>Pool, Prof, HOA, Lights</vt:lpstr>
      <vt:lpstr>Townhome Budget</vt:lpstr>
      <vt:lpstr> MS #2 Budget</vt:lpstr>
      <vt:lpstr>Lake Budget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Young</dc:creator>
  <cp:lastModifiedBy>Ashley Young</cp:lastModifiedBy>
  <cp:lastPrinted>2020-11-17T16:50:50Z</cp:lastPrinted>
  <dcterms:created xsi:type="dcterms:W3CDTF">2016-10-21T17:12:20Z</dcterms:created>
  <dcterms:modified xsi:type="dcterms:W3CDTF">2020-12-10T20:58:09Z</dcterms:modified>
</cp:coreProperties>
</file>